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7792" windowHeight="13356"/>
  </bookViews>
  <sheets>
    <sheet name="Soil profile" sheetId="2" r:id="rId1"/>
    <sheet name="Su berekening" sheetId="1" r:id="rId2"/>
    <sheet name="Chart su" sheetId="4" r:id="rId3"/>
    <sheet name="GEF file" sheetId="3" r:id="rId4"/>
  </sheets>
  <definedNames>
    <definedName name="a">'Soil profile'!$C$8</definedName>
    <definedName name="BenchmarkNr">'Soil profile'!$C$4</definedName>
    <definedName name="GammaSat1">'Soil profile'!$D$16</definedName>
    <definedName name="GammaSat2">'Soil profile'!$D$17</definedName>
    <definedName name="GammaSat3">'Soil profile'!$D$18</definedName>
    <definedName name="GammaUnsat1">'Soil profile'!$C$16</definedName>
    <definedName name="GammaUnsat2">'Soil profile'!$C$17</definedName>
    <definedName name="GammaUnsat3">'Soil profile'!$C$18</definedName>
    <definedName name="Interval">'Su berekening'!$C$4</definedName>
    <definedName name="IntervalSu">'Su berekening'!#REF!</definedName>
    <definedName name="Nkt_1">'Soil profile'!$E$16</definedName>
    <definedName name="Nkt_2">'Soil profile'!$E$17</definedName>
    <definedName name="Nkt_3">'Soil profile'!$E$18</definedName>
    <definedName name="Su_top1">'Soil profile'!$G$16</definedName>
    <definedName name="X_1">'Soil profile'!$F$16</definedName>
    <definedName name="X_2">'Soil profile'!$F$17</definedName>
    <definedName name="X_3">'Soil profile'!$F$18</definedName>
    <definedName name="Zphreatic">'Soil profile'!$C$6</definedName>
    <definedName name="Zsurface">'Soil profile'!$C$7</definedName>
    <definedName name="Ztop1">'Soil profile'!$B$16</definedName>
    <definedName name="Ztop2">'Soil profile'!$B$17</definedName>
    <definedName name="Ztop3">'Soil profile'!$B$18</definedName>
  </definedNames>
  <calcPr calcId="145621"/>
</workbook>
</file>

<file path=xl/calcChain.xml><?xml version="1.0" encoding="utf-8"?>
<calcChain xmlns="http://schemas.openxmlformats.org/spreadsheetml/2006/main">
  <c r="K16" i="2" l="1"/>
  <c r="A64" i="3" l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11" i="1"/>
  <c r="L18" i="2"/>
  <c r="K18" i="2"/>
  <c r="K17" i="2"/>
  <c r="L17" i="2"/>
  <c r="L16" i="2"/>
  <c r="D12" i="1" l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11" i="1"/>
  <c r="D19" i="2" l="1"/>
  <c r="E19" i="2"/>
  <c r="F19" i="2"/>
  <c r="C19" i="2"/>
  <c r="O12" i="1" l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11" i="1"/>
  <c r="B12" i="1" l="1"/>
  <c r="B13" i="1" l="1"/>
  <c r="B14" i="1" l="1"/>
  <c r="B16" i="2"/>
  <c r="G17" i="2" s="1"/>
  <c r="A44" i="3"/>
  <c r="A48" i="3"/>
  <c r="A33" i="3"/>
  <c r="B22" i="2"/>
  <c r="B25" i="2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N13" i="2"/>
  <c r="M13" i="2"/>
  <c r="N16" i="2"/>
  <c r="N15" i="2" s="1"/>
  <c r="N17" i="2"/>
  <c r="N18" i="2"/>
  <c r="M17" i="2"/>
  <c r="M16" i="2"/>
  <c r="G10" i="1" l="1"/>
  <c r="B10" i="1"/>
  <c r="G18" i="2"/>
  <c r="B15" i="1"/>
  <c r="B23" i="2"/>
  <c r="A77" i="1"/>
  <c r="A78" i="1" s="1"/>
  <c r="A79" i="1" s="1"/>
  <c r="A80" i="1" s="1"/>
  <c r="A81" i="1" s="1"/>
  <c r="A31" i="3" s="1"/>
  <c r="M18" i="2"/>
  <c r="B24" i="2"/>
  <c r="L10" i="1" l="1"/>
  <c r="F13" i="1"/>
  <c r="F11" i="1"/>
  <c r="F15" i="1"/>
  <c r="I15" i="1" s="1"/>
  <c r="F14" i="1"/>
  <c r="G14" i="1" s="1"/>
  <c r="F12" i="1"/>
  <c r="G12" i="1" s="1"/>
  <c r="B16" i="1"/>
  <c r="B26" i="2"/>
  <c r="K11" i="1" s="1"/>
  <c r="G15" i="1" l="1"/>
  <c r="L15" i="1" s="1"/>
  <c r="I13" i="1"/>
  <c r="G13" i="1"/>
  <c r="L13" i="1" s="1"/>
  <c r="L14" i="1"/>
  <c r="H13" i="1"/>
  <c r="L12" i="1"/>
  <c r="H11" i="1"/>
  <c r="G11" i="1"/>
  <c r="L11" i="1" s="1"/>
  <c r="J11" i="1" s="1"/>
  <c r="I11" i="1"/>
  <c r="F16" i="1"/>
  <c r="H15" i="1"/>
  <c r="I12" i="1"/>
  <c r="H12" i="1"/>
  <c r="H14" i="1"/>
  <c r="I14" i="1"/>
  <c r="B17" i="1"/>
  <c r="C11" i="1" l="1"/>
  <c r="G16" i="1"/>
  <c r="L16" i="1" s="1"/>
  <c r="I16" i="1"/>
  <c r="H16" i="1"/>
  <c r="F17" i="1"/>
  <c r="B18" i="1"/>
  <c r="K12" i="1"/>
  <c r="J12" i="1" s="1"/>
  <c r="C12" i="1" l="1"/>
  <c r="M12" i="1" s="1"/>
  <c r="N12" i="1" s="1"/>
  <c r="M11" i="1"/>
  <c r="G17" i="1"/>
  <c r="L17" i="1" s="1"/>
  <c r="F18" i="1"/>
  <c r="H17" i="1"/>
  <c r="I17" i="1"/>
  <c r="B19" i="1"/>
  <c r="K13" i="1"/>
  <c r="J13" i="1" s="1"/>
  <c r="A70" i="3" l="1"/>
  <c r="N11" i="1"/>
  <c r="C13" i="1"/>
  <c r="M13" i="1" s="1"/>
  <c r="N13" i="1" s="1"/>
  <c r="G18" i="1"/>
  <c r="L18" i="1" s="1"/>
  <c r="F19" i="1"/>
  <c r="H18" i="1"/>
  <c r="I18" i="1"/>
  <c r="B20" i="1"/>
  <c r="K14" i="1"/>
  <c r="J14" i="1" s="1"/>
  <c r="C14" i="1" l="1"/>
  <c r="M14" i="1" s="1"/>
  <c r="N14" i="1" s="1"/>
  <c r="G19" i="1"/>
  <c r="L19" i="1" s="1"/>
  <c r="F20" i="1"/>
  <c r="H19" i="1"/>
  <c r="I19" i="1"/>
  <c r="B21" i="1"/>
  <c r="K15" i="1"/>
  <c r="J15" i="1" s="1"/>
  <c r="C15" i="1" s="1"/>
  <c r="M15" i="1" l="1"/>
  <c r="N15" i="1" s="1"/>
  <c r="G20" i="1"/>
  <c r="L20" i="1" s="1"/>
  <c r="F21" i="1"/>
  <c r="H20" i="1"/>
  <c r="I20" i="1"/>
  <c r="B22" i="1"/>
  <c r="K16" i="1"/>
  <c r="J16" i="1" s="1"/>
  <c r="C16" i="1" l="1"/>
  <c r="M16" i="1" s="1"/>
  <c r="N16" i="1" s="1"/>
  <c r="G21" i="1"/>
  <c r="L21" i="1" s="1"/>
  <c r="F22" i="1"/>
  <c r="H21" i="1"/>
  <c r="I21" i="1"/>
  <c r="B23" i="1"/>
  <c r="K17" i="1"/>
  <c r="J17" i="1" s="1"/>
  <c r="C17" i="1" l="1"/>
  <c r="M17" i="1" s="1"/>
  <c r="N17" i="1" s="1"/>
  <c r="G22" i="1"/>
  <c r="L22" i="1" s="1"/>
  <c r="H22" i="1"/>
  <c r="I22" i="1"/>
  <c r="F23" i="1"/>
  <c r="B24" i="1"/>
  <c r="K18" i="1"/>
  <c r="J18" i="1" s="1"/>
  <c r="C18" i="1" l="1"/>
  <c r="M18" i="1" s="1"/>
  <c r="N18" i="1" s="1"/>
  <c r="G23" i="1"/>
  <c r="L23" i="1" s="1"/>
  <c r="F24" i="1"/>
  <c r="H23" i="1"/>
  <c r="I23" i="1"/>
  <c r="B25" i="1"/>
  <c r="K19" i="1"/>
  <c r="J19" i="1" s="1"/>
  <c r="C19" i="1" l="1"/>
  <c r="M19" i="1" s="1"/>
  <c r="N19" i="1" s="1"/>
  <c r="G24" i="1"/>
  <c r="L24" i="1" s="1"/>
  <c r="F25" i="1"/>
  <c r="H24" i="1"/>
  <c r="I24" i="1"/>
  <c r="B26" i="1"/>
  <c r="K20" i="1"/>
  <c r="J20" i="1" s="1"/>
  <c r="C20" i="1" l="1"/>
  <c r="M20" i="1" s="1"/>
  <c r="N20" i="1" s="1"/>
  <c r="G25" i="1"/>
  <c r="L25" i="1" s="1"/>
  <c r="F26" i="1"/>
  <c r="H25" i="1"/>
  <c r="I25" i="1"/>
  <c r="B27" i="1"/>
  <c r="K21" i="1"/>
  <c r="J21" i="1" s="1"/>
  <c r="C21" i="1" l="1"/>
  <c r="M21" i="1" s="1"/>
  <c r="N21" i="1" s="1"/>
  <c r="G26" i="1"/>
  <c r="L26" i="1" s="1"/>
  <c r="I26" i="1"/>
  <c r="H26" i="1"/>
  <c r="F27" i="1"/>
  <c r="B28" i="1"/>
  <c r="K22" i="1"/>
  <c r="J22" i="1" s="1"/>
  <c r="C22" i="1" l="1"/>
  <c r="M22" i="1" s="1"/>
  <c r="N22" i="1" s="1"/>
  <c r="G27" i="1"/>
  <c r="L27" i="1" s="1"/>
  <c r="H27" i="1"/>
  <c r="I27" i="1"/>
  <c r="F28" i="1"/>
  <c r="B29" i="1"/>
  <c r="K23" i="1"/>
  <c r="J23" i="1" s="1"/>
  <c r="C23" i="1" l="1"/>
  <c r="M23" i="1" s="1"/>
  <c r="N23" i="1" s="1"/>
  <c r="G28" i="1"/>
  <c r="L28" i="1" s="1"/>
  <c r="F29" i="1"/>
  <c r="I28" i="1"/>
  <c r="H28" i="1"/>
  <c r="B30" i="1"/>
  <c r="K24" i="1"/>
  <c r="J24" i="1" s="1"/>
  <c r="C24" i="1" l="1"/>
  <c r="M24" i="1" s="1"/>
  <c r="N24" i="1" s="1"/>
  <c r="G29" i="1"/>
  <c r="L29" i="1" s="1"/>
  <c r="F30" i="1"/>
  <c r="H29" i="1"/>
  <c r="I29" i="1"/>
  <c r="B31" i="1"/>
  <c r="K25" i="1"/>
  <c r="J25" i="1" s="1"/>
  <c r="C25" i="1" l="1"/>
  <c r="M25" i="1" s="1"/>
  <c r="N25" i="1" s="1"/>
  <c r="G30" i="1"/>
  <c r="L30" i="1" s="1"/>
  <c r="F31" i="1"/>
  <c r="H30" i="1"/>
  <c r="I30" i="1"/>
  <c r="B32" i="1"/>
  <c r="K26" i="1"/>
  <c r="J26" i="1" s="1"/>
  <c r="C26" i="1" l="1"/>
  <c r="M26" i="1" s="1"/>
  <c r="N26" i="1" s="1"/>
  <c r="G31" i="1"/>
  <c r="L31" i="1" s="1"/>
  <c r="F32" i="1"/>
  <c r="H31" i="1"/>
  <c r="I31" i="1"/>
  <c r="B33" i="1"/>
  <c r="K27" i="1"/>
  <c r="J27" i="1" s="1"/>
  <c r="C27" i="1" l="1"/>
  <c r="M27" i="1" s="1"/>
  <c r="N27" i="1" s="1"/>
  <c r="G32" i="1"/>
  <c r="L32" i="1" s="1"/>
  <c r="K28" i="1"/>
  <c r="J28" i="1" s="1"/>
  <c r="F33" i="1"/>
  <c r="I32" i="1"/>
  <c r="H32" i="1"/>
  <c r="B34" i="1"/>
  <c r="C28" i="1" l="1"/>
  <c r="M28" i="1" s="1"/>
  <c r="N28" i="1" s="1"/>
  <c r="K29" i="1"/>
  <c r="J29" i="1" s="1"/>
  <c r="G33" i="1"/>
  <c r="L33" i="1" s="1"/>
  <c r="F34" i="1"/>
  <c r="I33" i="1"/>
  <c r="H33" i="1"/>
  <c r="B35" i="1"/>
  <c r="C29" i="1" l="1"/>
  <c r="M29" i="1" s="1"/>
  <c r="N29" i="1" s="1"/>
  <c r="K30" i="1"/>
  <c r="J30" i="1" s="1"/>
  <c r="G34" i="1"/>
  <c r="L34" i="1" s="1"/>
  <c r="F35" i="1"/>
  <c r="H34" i="1"/>
  <c r="I34" i="1"/>
  <c r="B36" i="1"/>
  <c r="C30" i="1" l="1"/>
  <c r="M30" i="1" s="1"/>
  <c r="N30" i="1" s="1"/>
  <c r="K31" i="1"/>
  <c r="J31" i="1" s="1"/>
  <c r="G35" i="1"/>
  <c r="L35" i="1" s="1"/>
  <c r="F36" i="1"/>
  <c r="H35" i="1"/>
  <c r="I35" i="1"/>
  <c r="B37" i="1"/>
  <c r="C31" i="1" l="1"/>
  <c r="M31" i="1" s="1"/>
  <c r="N31" i="1" s="1"/>
  <c r="K32" i="1"/>
  <c r="J32" i="1" s="1"/>
  <c r="G36" i="1"/>
  <c r="L36" i="1" s="1"/>
  <c r="F37" i="1"/>
  <c r="I36" i="1"/>
  <c r="H36" i="1"/>
  <c r="B38" i="1"/>
  <c r="C32" i="1" l="1"/>
  <c r="M32" i="1" s="1"/>
  <c r="N32" i="1" s="1"/>
  <c r="G37" i="1"/>
  <c r="L37" i="1" s="1"/>
  <c r="K33" i="1"/>
  <c r="J33" i="1" s="1"/>
  <c r="F38" i="1"/>
  <c r="H37" i="1"/>
  <c r="I37" i="1"/>
  <c r="B39" i="1"/>
  <c r="C33" i="1" l="1"/>
  <c r="M33" i="1" s="1"/>
  <c r="N33" i="1" s="1"/>
  <c r="K34" i="1"/>
  <c r="J34" i="1" s="1"/>
  <c r="G38" i="1"/>
  <c r="L38" i="1" s="1"/>
  <c r="H38" i="1"/>
  <c r="I38" i="1"/>
  <c r="F39" i="1"/>
  <c r="B40" i="1"/>
  <c r="C34" i="1" l="1"/>
  <c r="M34" i="1" s="1"/>
  <c r="N34" i="1" s="1"/>
  <c r="G39" i="1"/>
  <c r="L39" i="1" s="1"/>
  <c r="K35" i="1"/>
  <c r="J35" i="1" s="1"/>
  <c r="F40" i="1"/>
  <c r="H39" i="1"/>
  <c r="I39" i="1"/>
  <c r="B41" i="1"/>
  <c r="C35" i="1" l="1"/>
  <c r="M35" i="1" s="1"/>
  <c r="N35" i="1" s="1"/>
  <c r="G40" i="1"/>
  <c r="L40" i="1" s="1"/>
  <c r="B42" i="1"/>
  <c r="F41" i="1"/>
  <c r="I40" i="1"/>
  <c r="H40" i="1"/>
  <c r="G41" i="1" l="1"/>
  <c r="L41" i="1" s="1"/>
  <c r="B43" i="1"/>
  <c r="F42" i="1"/>
  <c r="H41" i="1"/>
  <c r="I41" i="1"/>
  <c r="G42" i="1" l="1"/>
  <c r="L42" i="1" s="1"/>
  <c r="B44" i="1"/>
  <c r="B45" i="1" s="1"/>
  <c r="F43" i="1"/>
  <c r="I43" i="1" s="1"/>
  <c r="H42" i="1"/>
  <c r="I42" i="1"/>
  <c r="G43" i="1" l="1"/>
  <c r="L43" i="1" s="1"/>
  <c r="H43" i="1"/>
  <c r="F44" i="1"/>
  <c r="I44" i="1" s="1"/>
  <c r="F45" i="1"/>
  <c r="B46" i="1"/>
  <c r="G44" i="1" l="1"/>
  <c r="L44" i="1" s="1"/>
  <c r="G45" i="1"/>
  <c r="L45" i="1" s="1"/>
  <c r="H44" i="1"/>
  <c r="F46" i="1"/>
  <c r="H45" i="1"/>
  <c r="I45" i="1"/>
  <c r="B47" i="1"/>
  <c r="G46" i="1" l="1"/>
  <c r="L46" i="1" s="1"/>
  <c r="F47" i="1"/>
  <c r="H46" i="1"/>
  <c r="I46" i="1"/>
  <c r="B48" i="1"/>
  <c r="G47" i="1" l="1"/>
  <c r="L47" i="1"/>
  <c r="F48" i="1"/>
  <c r="H47" i="1"/>
  <c r="I47" i="1"/>
  <c r="B49" i="1"/>
  <c r="G48" i="1" l="1"/>
  <c r="L48" i="1"/>
  <c r="F49" i="1"/>
  <c r="I48" i="1"/>
  <c r="H48" i="1"/>
  <c r="B50" i="1"/>
  <c r="G49" i="1" l="1"/>
  <c r="L49" i="1" s="1"/>
  <c r="F50" i="1"/>
  <c r="I49" i="1"/>
  <c r="H49" i="1"/>
  <c r="B51" i="1"/>
  <c r="K36" i="1"/>
  <c r="J36" i="1" s="1"/>
  <c r="C36" i="1" l="1"/>
  <c r="M36" i="1" s="1"/>
  <c r="N36" i="1" s="1"/>
  <c r="G50" i="1"/>
  <c r="L50" i="1" s="1"/>
  <c r="F51" i="1"/>
  <c r="H50" i="1"/>
  <c r="I50" i="1"/>
  <c r="B52" i="1"/>
  <c r="K37" i="1"/>
  <c r="J37" i="1" s="1"/>
  <c r="C37" i="1" l="1"/>
  <c r="M37" i="1" s="1"/>
  <c r="N37" i="1" s="1"/>
  <c r="G51" i="1"/>
  <c r="L51" i="1" s="1"/>
  <c r="H51" i="1"/>
  <c r="I51" i="1"/>
  <c r="F52" i="1"/>
  <c r="B53" i="1"/>
  <c r="K38" i="1"/>
  <c r="J38" i="1" s="1"/>
  <c r="G52" i="1" l="1"/>
  <c r="L52" i="1" s="1"/>
  <c r="C38" i="1"/>
  <c r="M38" i="1" s="1"/>
  <c r="N38" i="1" s="1"/>
  <c r="F53" i="1"/>
  <c r="I52" i="1"/>
  <c r="H52" i="1"/>
  <c r="B54" i="1"/>
  <c r="K39" i="1"/>
  <c r="J39" i="1" s="1"/>
  <c r="C39" i="1" l="1"/>
  <c r="M39" i="1" s="1"/>
  <c r="N39" i="1" s="1"/>
  <c r="G53" i="1"/>
  <c r="L53" i="1" s="1"/>
  <c r="F54" i="1"/>
  <c r="I53" i="1"/>
  <c r="H53" i="1"/>
  <c r="B55" i="1"/>
  <c r="K40" i="1"/>
  <c r="J40" i="1" s="1"/>
  <c r="C40" i="1" l="1"/>
  <c r="M40" i="1" s="1"/>
  <c r="N40" i="1" s="1"/>
  <c r="G54" i="1"/>
  <c r="L54" i="1" s="1"/>
  <c r="F55" i="1"/>
  <c r="I54" i="1"/>
  <c r="H54" i="1"/>
  <c r="B56" i="1"/>
  <c r="K41" i="1"/>
  <c r="J41" i="1" s="1"/>
  <c r="G55" i="1" l="1"/>
  <c r="C41" i="1"/>
  <c r="M41" i="1" s="1"/>
  <c r="N41" i="1" s="1"/>
  <c r="L55" i="1"/>
  <c r="F56" i="1"/>
  <c r="H55" i="1"/>
  <c r="I55" i="1"/>
  <c r="B57" i="1"/>
  <c r="G56" i="1" s="1"/>
  <c r="K42" i="1"/>
  <c r="J42" i="1" s="1"/>
  <c r="C42" i="1" l="1"/>
  <c r="M42" i="1" s="1"/>
  <c r="N42" i="1" s="1"/>
  <c r="L56" i="1"/>
  <c r="F57" i="1"/>
  <c r="I56" i="1"/>
  <c r="H56" i="1"/>
  <c r="B58" i="1"/>
  <c r="K43" i="1"/>
  <c r="J43" i="1" s="1"/>
  <c r="C43" i="1" l="1"/>
  <c r="M43" i="1" s="1"/>
  <c r="N43" i="1" s="1"/>
  <c r="K44" i="1"/>
  <c r="J44" i="1" s="1"/>
  <c r="G57" i="1"/>
  <c r="L57" i="1" s="1"/>
  <c r="F58" i="1"/>
  <c r="I57" i="1"/>
  <c r="H57" i="1"/>
  <c r="B59" i="1"/>
  <c r="C44" i="1" l="1"/>
  <c r="M44" i="1" s="1"/>
  <c r="N44" i="1" s="1"/>
  <c r="K45" i="1"/>
  <c r="J45" i="1" s="1"/>
  <c r="G58" i="1"/>
  <c r="L58" i="1" s="1"/>
  <c r="F59" i="1"/>
  <c r="I58" i="1"/>
  <c r="H58" i="1"/>
  <c r="B60" i="1"/>
  <c r="C45" i="1" l="1"/>
  <c r="M45" i="1" s="1"/>
  <c r="N45" i="1" s="1"/>
  <c r="K46" i="1"/>
  <c r="J46" i="1" s="1"/>
  <c r="G59" i="1"/>
  <c r="L59" i="1" s="1"/>
  <c r="F60" i="1"/>
  <c r="I59" i="1"/>
  <c r="H59" i="1"/>
  <c r="B61" i="1"/>
  <c r="C46" i="1" l="1"/>
  <c r="M46" i="1" s="1"/>
  <c r="N46" i="1" s="1"/>
  <c r="G60" i="1"/>
  <c r="L60" i="1" s="1"/>
  <c r="K47" i="1"/>
  <c r="J47" i="1" s="1"/>
  <c r="F61" i="1"/>
  <c r="I61" i="1" s="1"/>
  <c r="I60" i="1"/>
  <c r="H60" i="1"/>
  <c r="B62" i="1"/>
  <c r="C47" i="1" l="1"/>
  <c r="M47" i="1" s="1"/>
  <c r="N47" i="1" s="1"/>
  <c r="K48" i="1"/>
  <c r="J48" i="1" s="1"/>
  <c r="G61" i="1"/>
  <c r="L61" i="1" s="1"/>
  <c r="H61" i="1"/>
  <c r="B63" i="1"/>
  <c r="J17" i="2"/>
  <c r="K49" i="1" l="1"/>
  <c r="J49" i="1" s="1"/>
  <c r="C49" i="1" s="1"/>
  <c r="M49" i="1" s="1"/>
  <c r="N49" i="1" s="1"/>
  <c r="C48" i="1"/>
  <c r="M48" i="1" s="1"/>
  <c r="N48" i="1" s="1"/>
  <c r="B64" i="1"/>
  <c r="K50" i="1"/>
  <c r="J50" i="1" s="1"/>
  <c r="C50" i="1" l="1"/>
  <c r="M50" i="1" s="1"/>
  <c r="N50" i="1" s="1"/>
  <c r="B65" i="1"/>
  <c r="K51" i="1"/>
  <c r="J51" i="1" s="1"/>
  <c r="C51" i="1" l="1"/>
  <c r="M51" i="1" s="1"/>
  <c r="N51" i="1" s="1"/>
  <c r="B66" i="1"/>
  <c r="B67" i="1" l="1"/>
  <c r="B68" i="1" l="1"/>
  <c r="B69" i="1" l="1"/>
  <c r="B70" i="1" l="1"/>
  <c r="B71" i="1" l="1"/>
  <c r="B72" i="1" l="1"/>
  <c r="B73" i="1" l="1"/>
  <c r="B74" i="1" l="1"/>
  <c r="B75" i="1" l="1"/>
  <c r="B76" i="1" l="1"/>
  <c r="B77" i="1" l="1"/>
  <c r="B78" i="1" l="1"/>
  <c r="B79" i="1" l="1"/>
  <c r="B80" i="1" l="1"/>
  <c r="B81" i="1" l="1"/>
  <c r="B19" i="2" l="1"/>
  <c r="G19" i="2" s="1"/>
  <c r="A49" i="3" l="1"/>
  <c r="M15" i="2"/>
  <c r="F72" i="1" l="1"/>
  <c r="G72" i="1" s="1"/>
  <c r="F80" i="1"/>
  <c r="G80" i="1" s="1"/>
  <c r="G81" i="1" s="1"/>
  <c r="F78" i="1"/>
  <c r="G78" i="1" s="1"/>
  <c r="F63" i="1"/>
  <c r="G63" i="1" s="1"/>
  <c r="F70" i="1"/>
  <c r="G70" i="1" s="1"/>
  <c r="F64" i="1"/>
  <c r="G64" i="1" s="1"/>
  <c r="F69" i="1"/>
  <c r="G69" i="1" s="1"/>
  <c r="F67" i="1"/>
  <c r="G67" i="1" s="1"/>
  <c r="F77" i="1"/>
  <c r="G77" i="1" s="1"/>
  <c r="F68" i="1"/>
  <c r="G68" i="1" s="1"/>
  <c r="F75" i="1"/>
  <c r="G75" i="1" s="1"/>
  <c r="F76" i="1"/>
  <c r="G76" i="1" s="1"/>
  <c r="F66" i="1"/>
  <c r="G66" i="1" s="1"/>
  <c r="F62" i="1"/>
  <c r="G62" i="1" s="1"/>
  <c r="F65" i="1"/>
  <c r="G65" i="1" s="1"/>
  <c r="F74" i="1"/>
  <c r="G74" i="1" s="1"/>
  <c r="F71" i="1"/>
  <c r="G71" i="1" s="1"/>
  <c r="F73" i="1"/>
  <c r="G73" i="1" s="1"/>
  <c r="F79" i="1"/>
  <c r="G79" i="1" s="1"/>
  <c r="F81" i="1"/>
  <c r="L69" i="1" l="1"/>
  <c r="L68" i="1"/>
  <c r="L77" i="1"/>
  <c r="L74" i="1"/>
  <c r="L63" i="1"/>
  <c r="L66" i="1"/>
  <c r="L76" i="1"/>
  <c r="L75" i="1"/>
  <c r="L67" i="1"/>
  <c r="L73" i="1"/>
  <c r="L65" i="1"/>
  <c r="L72" i="1"/>
  <c r="L64" i="1"/>
  <c r="L79" i="1"/>
  <c r="L71" i="1"/>
  <c r="L78" i="1"/>
  <c r="L70" i="1"/>
  <c r="L81" i="1"/>
  <c r="L80" i="1"/>
  <c r="L62" i="1"/>
  <c r="I68" i="1"/>
  <c r="H68" i="1"/>
  <c r="I72" i="1"/>
  <c r="H72" i="1"/>
  <c r="H73" i="1"/>
  <c r="I73" i="1"/>
  <c r="H65" i="1"/>
  <c r="I65" i="1"/>
  <c r="H77" i="1"/>
  <c r="I77" i="1"/>
  <c r="H78" i="1"/>
  <c r="I78" i="1"/>
  <c r="H62" i="1"/>
  <c r="I62" i="1"/>
  <c r="H67" i="1"/>
  <c r="I67" i="1"/>
  <c r="H81" i="1"/>
  <c r="I81" i="1"/>
  <c r="H71" i="1"/>
  <c r="I71" i="1"/>
  <c r="I66" i="1"/>
  <c r="H66" i="1"/>
  <c r="H69" i="1"/>
  <c r="I69" i="1"/>
  <c r="I80" i="1"/>
  <c r="H80" i="1"/>
  <c r="I74" i="1"/>
  <c r="H74" i="1"/>
  <c r="H63" i="1"/>
  <c r="I63" i="1"/>
  <c r="I76" i="1"/>
  <c r="H76" i="1"/>
  <c r="I64" i="1"/>
  <c r="H64" i="1"/>
  <c r="H79" i="1"/>
  <c r="I79" i="1"/>
  <c r="H75" i="1"/>
  <c r="I75" i="1"/>
  <c r="H70" i="1"/>
  <c r="I70" i="1"/>
  <c r="K52" i="1"/>
  <c r="J52" i="1" s="1"/>
  <c r="C52" i="1" l="1"/>
  <c r="M52" i="1" s="1"/>
  <c r="N52" i="1" s="1"/>
  <c r="K53" i="1"/>
  <c r="J53" i="1" s="1"/>
  <c r="C53" i="1" l="1"/>
  <c r="M53" i="1" s="1"/>
  <c r="N53" i="1" s="1"/>
  <c r="K54" i="1"/>
  <c r="J54" i="1" s="1"/>
  <c r="C54" i="1" l="1"/>
  <c r="M54" i="1" s="1"/>
  <c r="N54" i="1" s="1"/>
  <c r="K55" i="1"/>
  <c r="J55" i="1" s="1"/>
  <c r="C55" i="1" l="1"/>
  <c r="M55" i="1" s="1"/>
  <c r="N55" i="1" s="1"/>
  <c r="K56" i="1"/>
  <c r="J56" i="1" s="1"/>
  <c r="C56" i="1" l="1"/>
  <c r="M56" i="1" s="1"/>
  <c r="N56" i="1" s="1"/>
  <c r="K57" i="1"/>
  <c r="J57" i="1" s="1"/>
  <c r="C57" i="1" l="1"/>
  <c r="M57" i="1" s="1"/>
  <c r="N57" i="1" s="1"/>
  <c r="K58" i="1"/>
  <c r="J58" i="1" s="1"/>
  <c r="C58" i="1" l="1"/>
  <c r="M58" i="1" s="1"/>
  <c r="N58" i="1" s="1"/>
  <c r="K59" i="1"/>
  <c r="J59" i="1" s="1"/>
  <c r="C59" i="1" l="1"/>
  <c r="M59" i="1" s="1"/>
  <c r="N59" i="1" s="1"/>
  <c r="K60" i="1"/>
  <c r="J60" i="1" s="1"/>
  <c r="C60" i="1" l="1"/>
  <c r="M60" i="1" s="1"/>
  <c r="N60" i="1" s="1"/>
  <c r="K61" i="1"/>
  <c r="J61" i="1" s="1"/>
  <c r="C61" i="1" l="1"/>
  <c r="M61" i="1" s="1"/>
  <c r="N61" i="1" s="1"/>
  <c r="K62" i="1"/>
  <c r="J62" i="1" s="1"/>
  <c r="C62" i="1" l="1"/>
  <c r="M62" i="1" s="1"/>
  <c r="N62" i="1" s="1"/>
  <c r="K63" i="1"/>
  <c r="J63" i="1" s="1"/>
  <c r="C63" i="1" l="1"/>
  <c r="M63" i="1" s="1"/>
  <c r="N63" i="1" s="1"/>
  <c r="K64" i="1"/>
  <c r="J64" i="1" s="1"/>
  <c r="C64" i="1" l="1"/>
  <c r="M64" i="1" s="1"/>
  <c r="N64" i="1" s="1"/>
  <c r="K65" i="1"/>
  <c r="J65" i="1" s="1"/>
  <c r="C65" i="1" l="1"/>
  <c r="M65" i="1" s="1"/>
  <c r="N65" i="1" s="1"/>
  <c r="K66" i="1"/>
  <c r="J66" i="1" s="1"/>
  <c r="C66" i="1" l="1"/>
  <c r="M66" i="1" s="1"/>
  <c r="N66" i="1" s="1"/>
  <c r="K67" i="1"/>
  <c r="J67" i="1" s="1"/>
  <c r="C67" i="1" l="1"/>
  <c r="M67" i="1" s="1"/>
  <c r="N67" i="1" s="1"/>
  <c r="K68" i="1"/>
  <c r="J68" i="1" s="1"/>
  <c r="C68" i="1" l="1"/>
  <c r="M68" i="1" s="1"/>
  <c r="N68" i="1" s="1"/>
  <c r="K69" i="1"/>
  <c r="J69" i="1" s="1"/>
  <c r="C69" i="1" l="1"/>
  <c r="M69" i="1" s="1"/>
  <c r="N69" i="1" s="1"/>
  <c r="K70" i="1"/>
  <c r="J70" i="1" s="1"/>
  <c r="C70" i="1" l="1"/>
  <c r="M70" i="1" s="1"/>
  <c r="N70" i="1" s="1"/>
  <c r="K71" i="1"/>
  <c r="J71" i="1" s="1"/>
  <c r="C71" i="1" l="1"/>
  <c r="M71" i="1" s="1"/>
  <c r="N71" i="1" s="1"/>
  <c r="K72" i="1"/>
  <c r="J72" i="1" s="1"/>
  <c r="C72" i="1" l="1"/>
  <c r="M72" i="1" s="1"/>
  <c r="N72" i="1" s="1"/>
  <c r="K73" i="1"/>
  <c r="J73" i="1" s="1"/>
  <c r="C73" i="1" l="1"/>
  <c r="M73" i="1" s="1"/>
  <c r="N73" i="1" s="1"/>
  <c r="K74" i="1"/>
  <c r="J74" i="1" s="1"/>
  <c r="C74" i="1" l="1"/>
  <c r="M74" i="1" s="1"/>
  <c r="N74" i="1" s="1"/>
  <c r="K75" i="1"/>
  <c r="J75" i="1" s="1"/>
  <c r="C75" i="1" l="1"/>
  <c r="M75" i="1" s="1"/>
  <c r="N75" i="1" s="1"/>
  <c r="K76" i="1"/>
  <c r="J76" i="1" s="1"/>
  <c r="C76" i="1" l="1"/>
  <c r="M76" i="1" s="1"/>
  <c r="N76" i="1" s="1"/>
  <c r="K77" i="1"/>
  <c r="J77" i="1" s="1"/>
  <c r="C77" i="1" l="1"/>
  <c r="M77" i="1" s="1"/>
  <c r="N77" i="1" s="1"/>
  <c r="K78" i="1"/>
  <c r="J78" i="1" s="1"/>
  <c r="C78" i="1" l="1"/>
  <c r="M78" i="1" s="1"/>
  <c r="N78" i="1" s="1"/>
  <c r="K79" i="1"/>
  <c r="J79" i="1" s="1"/>
  <c r="C79" i="1" l="1"/>
  <c r="M79" i="1" s="1"/>
  <c r="N79" i="1" s="1"/>
  <c r="K80" i="1"/>
  <c r="J80" i="1" s="1"/>
  <c r="C80" i="1" l="1"/>
  <c r="M80" i="1" s="1"/>
  <c r="N80" i="1" s="1"/>
  <c r="K81" i="1"/>
  <c r="J81" i="1" s="1"/>
  <c r="C81" i="1" l="1"/>
  <c r="M81" i="1" s="1"/>
  <c r="N81" i="1" s="1"/>
  <c r="P73" i="1"/>
  <c r="P49" i="1"/>
  <c r="P29" i="1"/>
  <c r="P77" i="1"/>
  <c r="P47" i="1"/>
  <c r="P45" i="1"/>
  <c r="P43" i="1"/>
  <c r="P63" i="1"/>
  <c r="P53" i="1"/>
  <c r="P55" i="1"/>
  <c r="P23" i="1"/>
  <c r="P20" i="1"/>
  <c r="P39" i="1"/>
  <c r="P78" i="1"/>
  <c r="P38" i="1"/>
  <c r="P21" i="1"/>
  <c r="P34" i="1"/>
  <c r="P69" i="1"/>
  <c r="P33" i="1"/>
  <c r="P41" i="1"/>
  <c r="P22" i="1"/>
  <c r="P40" i="1"/>
  <c r="P32" i="1"/>
  <c r="P57" i="1"/>
  <c r="P54" i="1"/>
  <c r="P13" i="1"/>
  <c r="P50" i="1"/>
  <c r="P28" i="1"/>
  <c r="P68" i="1"/>
  <c r="P61" i="1"/>
  <c r="P44" i="1"/>
  <c r="P71" i="1"/>
  <c r="P36" i="1"/>
  <c r="P16" i="1"/>
  <c r="P51" i="1"/>
  <c r="P11" i="1"/>
  <c r="P72" i="1"/>
  <c r="P76" i="1"/>
  <c r="P60" i="1"/>
  <c r="P52" i="1"/>
  <c r="P59" i="1"/>
  <c r="P58" i="1"/>
  <c r="P56" i="1"/>
  <c r="P37" i="1"/>
  <c r="P31" i="1"/>
  <c r="P66" i="1"/>
  <c r="P74" i="1"/>
  <c r="P18" i="1"/>
  <c r="P12" i="1"/>
  <c r="P17" i="1"/>
  <c r="P27" i="1"/>
  <c r="P26" i="1"/>
  <c r="P46" i="1"/>
  <c r="P42" i="1"/>
  <c r="P70" i="1"/>
  <c r="P64" i="1"/>
  <c r="P48" i="1"/>
  <c r="P81" i="1"/>
  <c r="P14" i="1"/>
  <c r="P35" i="1"/>
  <c r="P80" i="1"/>
  <c r="P75" i="1"/>
  <c r="P62" i="1"/>
  <c r="P15" i="1"/>
  <c r="P30" i="1"/>
  <c r="P79" i="1"/>
  <c r="P19" i="1"/>
  <c r="P67" i="1"/>
  <c r="P25" i="1"/>
  <c r="P65" i="1"/>
  <c r="P24" i="1"/>
  <c r="J16" i="2"/>
  <c r="A105" i="3" l="1"/>
  <c r="A116" i="3"/>
  <c r="A107" i="3"/>
  <c r="A108" i="3"/>
  <c r="A106" i="3"/>
  <c r="A118" i="3"/>
  <c r="A115" i="3"/>
  <c r="A102" i="3"/>
  <c r="A109" i="3"/>
  <c r="A117" i="3"/>
  <c r="A120" i="3"/>
  <c r="A111" i="3"/>
  <c r="A101" i="3"/>
  <c r="A119" i="3"/>
  <c r="A104" i="3"/>
  <c r="A110" i="3"/>
  <c r="A103" i="3"/>
  <c r="A114" i="3"/>
  <c r="A113" i="3"/>
  <c r="A112" i="3"/>
  <c r="I16" i="2"/>
  <c r="A133" i="3" l="1"/>
  <c r="A134" i="3"/>
  <c r="A137" i="3"/>
  <c r="A123" i="3"/>
  <c r="A122" i="3"/>
  <c r="A128" i="3"/>
  <c r="A121" i="3"/>
  <c r="A136" i="3"/>
  <c r="A131" i="3"/>
  <c r="A139" i="3"/>
  <c r="A125" i="3"/>
  <c r="A132" i="3"/>
  <c r="A127" i="3"/>
  <c r="A124" i="3"/>
  <c r="A135" i="3"/>
  <c r="A138" i="3"/>
  <c r="A126" i="3"/>
  <c r="A129" i="3"/>
  <c r="A140" i="3"/>
  <c r="A130" i="3"/>
  <c r="J18" i="2"/>
  <c r="A71" i="3" l="1"/>
  <c r="I18" i="2"/>
  <c r="I17" i="2" l="1"/>
  <c r="A72" i="3"/>
  <c r="A73" i="3" l="1"/>
  <c r="A74" i="3" l="1"/>
  <c r="A75" i="3" l="1"/>
  <c r="A76" i="3" l="1"/>
  <c r="A77" i="3" l="1"/>
  <c r="A78" i="3" l="1"/>
  <c r="A79" i="3" l="1"/>
  <c r="A80" i="3" l="1"/>
  <c r="A81" i="3" l="1"/>
  <c r="A82" i="3" l="1"/>
  <c r="A83" i="3" l="1"/>
  <c r="A84" i="3" l="1"/>
  <c r="A85" i="3" l="1"/>
  <c r="A86" i="3" l="1"/>
  <c r="A87" i="3" l="1"/>
  <c r="A88" i="3" l="1"/>
  <c r="A89" i="3" l="1"/>
  <c r="A90" i="3" l="1"/>
  <c r="A91" i="3" l="1"/>
  <c r="A92" i="3" l="1"/>
  <c r="A93" i="3" l="1"/>
  <c r="A94" i="3" l="1"/>
  <c r="A95" i="3" l="1"/>
  <c r="A96" i="3" l="1"/>
  <c r="A97" i="3" l="1"/>
  <c r="A98" i="3" l="1"/>
  <c r="A99" i="3" l="1"/>
  <c r="A100" i="3" l="1"/>
</calcChain>
</file>

<file path=xl/sharedStrings.xml><?xml version="1.0" encoding="utf-8"?>
<sst xmlns="http://schemas.openxmlformats.org/spreadsheetml/2006/main" count="162" uniqueCount="128">
  <si>
    <t>Depth</t>
  </si>
  <si>
    <t>[m NAP]</t>
  </si>
  <si>
    <t>[MPa]</t>
  </si>
  <si>
    <t>[kPa]</t>
  </si>
  <si>
    <r>
      <t>s</t>
    </r>
    <r>
      <rPr>
        <vertAlign val="subscript"/>
        <sz val="11"/>
        <color theme="1"/>
        <rFont val="Calibri"/>
        <family val="2"/>
        <scheme val="minor"/>
      </rPr>
      <t>u</t>
    </r>
  </si>
  <si>
    <r>
      <t>q</t>
    </r>
    <r>
      <rPr>
        <vertAlign val="subscript"/>
        <sz val="11"/>
        <color theme="1"/>
        <rFont val="Calibri"/>
        <family val="2"/>
        <scheme val="minor"/>
      </rPr>
      <t>c</t>
    </r>
  </si>
  <si>
    <r>
      <t>q</t>
    </r>
    <r>
      <rPr>
        <vertAlign val="subscript"/>
        <sz val="11"/>
        <color theme="1"/>
        <rFont val="Calibri"/>
        <family val="2"/>
        <scheme val="minor"/>
      </rPr>
      <t>t</t>
    </r>
  </si>
  <si>
    <t>z</t>
  </si>
  <si>
    <t>Voor waterspanning gecorrigeerde sondeerweerstand voor de piezocone u2</t>
  </si>
  <si>
    <r>
      <t>u</t>
    </r>
    <r>
      <rPr>
        <vertAlign val="subscript"/>
        <sz val="11"/>
        <color theme="1"/>
        <rFont val="Calibri"/>
        <family val="2"/>
        <scheme val="minor"/>
      </rPr>
      <t>2</t>
    </r>
  </si>
  <si>
    <t>a</t>
  </si>
  <si>
    <t>Benchmark D-Soil Model</t>
  </si>
  <si>
    <t>Laag nr.</t>
  </si>
  <si>
    <t>Top level</t>
  </si>
  <si>
    <t>Saturated unit weight</t>
  </si>
  <si>
    <r>
      <t>[kN/m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]</t>
    </r>
  </si>
  <si>
    <t>Unsaturated unit weight</t>
  </si>
  <si>
    <r>
      <rPr>
        <sz val="11"/>
        <color theme="1"/>
        <rFont val="Symbol"/>
        <family val="1"/>
        <charset val="2"/>
      </rPr>
      <t>g</t>
    </r>
    <r>
      <rPr>
        <vertAlign val="subscript"/>
        <sz val="11"/>
        <color theme="1"/>
        <rFont val="Calibri"/>
        <family val="2"/>
        <scheme val="minor"/>
      </rPr>
      <t>unsat</t>
    </r>
  </si>
  <si>
    <r>
      <rPr>
        <sz val="11"/>
        <color theme="1"/>
        <rFont val="Symbol"/>
        <family val="1"/>
        <charset val="2"/>
      </rPr>
      <t>g</t>
    </r>
    <r>
      <rPr>
        <vertAlign val="subscript"/>
        <sz val="11"/>
        <color theme="1"/>
        <rFont val="Calibri"/>
        <family val="2"/>
        <scheme val="minor"/>
      </rPr>
      <t>sat</t>
    </r>
  </si>
  <si>
    <t>Phreatic level</t>
  </si>
  <si>
    <r>
      <t>Z</t>
    </r>
    <r>
      <rPr>
        <vertAlign val="subscript"/>
        <sz val="11"/>
        <color theme="1"/>
        <rFont val="Calibri"/>
        <family val="2"/>
        <scheme val="minor"/>
      </rPr>
      <t>phreatic</t>
    </r>
  </si>
  <si>
    <t xml:space="preserve">Verticale totaalspanning (grondspanning) </t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</si>
  <si>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Calibri"/>
        <family val="2"/>
        <scheme val="minor"/>
      </rPr>
      <t>v0</t>
    </r>
  </si>
  <si>
    <t>[-]</t>
  </si>
  <si>
    <t xml:space="preserve">Ongedraineerde schuifsterkte </t>
  </si>
  <si>
    <t>Reverse table:</t>
  </si>
  <si>
    <t>Point number</t>
  </si>
  <si>
    <t>First point of the :CPT</t>
  </si>
  <si>
    <t xml:space="preserve">   Depth</t>
  </si>
  <si>
    <t xml:space="preserve">Waterspanning t.p.v u2 filter </t>
  </si>
  <si>
    <t>#GEFID= 1, 1, 0</t>
  </si>
  <si>
    <t>#PROJECTID= CPT, 1013-0221-001, -</t>
  </si>
  <si>
    <t>#COLUMN= 10</t>
  </si>
  <si>
    <t>#COLUMNINFO= 1, m, Sondeerlengte, 1</t>
  </si>
  <si>
    <t>#COLUMNINFO= 2, MPa, Conusweerstand qc, 2</t>
  </si>
  <si>
    <t>#COLUMNINFO= 3, MPa, Wrijvingsweerstand fs, 3</t>
  </si>
  <si>
    <t>#COLUMNINFO= 4, %, Wrijvingsgetal Rf, 4</t>
  </si>
  <si>
    <t>#COLUMNINFO= 5, MPa, Waterspanning u2, 6</t>
  </si>
  <si>
    <t>#COLUMNINFO= 6, graden, Helling X, 21</t>
  </si>
  <si>
    <t>#COLUMNINFO= 7, graden, Helling Y, 22</t>
  </si>
  <si>
    <t>#COLUMNINFO= 8, -, Classificatie zone Robertson 1990, 99</t>
  </si>
  <si>
    <t>#COLUMNINFO= 9, m, Gecorrigeerde diepte, 11</t>
  </si>
  <si>
    <t>#COLUMNINFO= 10, s, Tijd, 12</t>
  </si>
  <si>
    <t>#ANALYSISTEXT= 130, T:\INWINNING\1013-0221-001\DKMP23.000, oorspronkelijke UNICAS datafile</t>
  </si>
  <si>
    <t>#ANALYSISTEXT= 131, UNIPLOT      05.23.01, conversie programma</t>
  </si>
  <si>
    <t>#COMPANYID= Fugro GeoServices B.V., NL005621409B08, 31</t>
  </si>
  <si>
    <t>#DATAFORMAT= ASCII</t>
  </si>
  <si>
    <t>#DATATYPE= REAL8</t>
  </si>
  <si>
    <t>#COLUMNVOID= 1, -99999.000</t>
  </si>
  <si>
    <t>#COLUMNVOID= 2, -99999.000</t>
  </si>
  <si>
    <t>#COLUMNVOID= 3, -99999.000</t>
  </si>
  <si>
    <t>#COLUMNVOID= 4, -99999.000</t>
  </si>
  <si>
    <t>#COLUMNVOID= 5, -99999.00000</t>
  </si>
  <si>
    <t>#COLUMNVOID= 6, -99999.000</t>
  </si>
  <si>
    <t>#COLUMNVOID= 7, -99999.000</t>
  </si>
  <si>
    <t>#COLUMNVOID= 8, -99999</t>
  </si>
  <si>
    <t>#COLUMNVOID= 9, -99999.00</t>
  </si>
  <si>
    <t>#COLUMNVOID= 10, -99999.0</t>
  </si>
  <si>
    <t>#XYID= 31000, 133058.10, 497870.79,  0.03,  0.03</t>
  </si>
  <si>
    <t>#MEASUREMENTTEXT= 1, -, opdrachtgever</t>
  </si>
  <si>
    <t>#MEASUREMENTTEXT= 2, MARKERMEERDIJK DOV2.2, projectnaam</t>
  </si>
  <si>
    <t>#MEASUREMENTTEXT= 3, Markermeerdijk DOV2.2, plaatsnaam</t>
  </si>
  <si>
    <t>#MEASUREMENTTEXT= 4, A15F2.5CKE2HAW2/B P1-1701-2567, conus type en serienummer</t>
  </si>
  <si>
    <t>#MEASUREMENTTEXT= 5, Rups 12/JLA/DMB, sondeerapparaat/operator</t>
  </si>
  <si>
    <t>#MEASUREMENTTEXT= 6, NEN 5140 klasse  2, gevolgde norm</t>
  </si>
  <si>
    <t>#MEASUREMENTTEXT= 9, maaiveld, vast horizontaal vlak</t>
  </si>
  <si>
    <t>#MEASUREMENTTEXT= 44, -, orientatie x-as</t>
  </si>
  <si>
    <t>#MEASUREMENTVAR= 1, 1500, mm2, Nom. opp. conuspunt</t>
  </si>
  <si>
    <t>#MEASUREMENTVAR= 2, 19956, mm2, Nom. opp. wrijvingsmantel</t>
  </si>
  <si>
    <t>#MEASUREMENTVAR= 4, 1.00, -, Netto oppervlaktequotient van de kleefmantel</t>
  </si>
  <si>
    <t>#MEASUREMENTVAR= 5, 148, mm, Afstand conus tot midden kleefmantel</t>
  </si>
  <si>
    <t>#MEASUREMENTVAR= 12, 0, -, electrische sondering</t>
  </si>
  <si>
    <t>#MEASUREMENTVAR= 17,  0, - , Stopcriterium : Einddiepte bereikt</t>
  </si>
  <si>
    <t>#MEASUREMENTVAR= 20,  -0.025, MPa, nulmeting conus voor sondering</t>
  </si>
  <si>
    <t>#MEASUREMENTVAR= 21,  -0.042, MPa, nulmeting conus na sondering</t>
  </si>
  <si>
    <t>#MEASUREMENTVAR= 22,  -0.002, MPa, nulmeting wrijving voor sondering</t>
  </si>
  <si>
    <t>#MEASUREMENTVAR= 23,  -0.002, MPa, nulmeting wrijving na sondering</t>
  </si>
  <si>
    <t>#MEASUREMENTVAR= 26,   0.002, MPa, nulmeting WSM u2 voor sondering</t>
  </si>
  <si>
    <t>#MEASUREMENTVAR= 27,   0.002, MPa, nulmeting WSM u2 na sondering</t>
  </si>
  <si>
    <t>#MEASUREMENTVAR= 30,  -2.3, graden, nulmeting helling voor sondering</t>
  </si>
  <si>
    <t>#MEASUREMENTVAR= 31,  -0.2, graden, nulmeting helling na sondering</t>
  </si>
  <si>
    <t>#SPECIMENVAR=  1 ,   0.00, m, Asfalt</t>
  </si>
  <si>
    <t>#SPECIMENVAR=  2 ,   0.17, m, Repac</t>
  </si>
  <si>
    <t>#SPECIMENVAR=  3 ,   0.60, m, Grind  grof</t>
  </si>
  <si>
    <t>#SPECIMENVAR=  4 ,   0.70, m, Asfalt</t>
  </si>
  <si>
    <t>#SPECIMENVAR=  5 ,   0.75, m, Grind / puin  fijn</t>
  </si>
  <si>
    <t>#REPORTCODE= GEF-CPT-Report,1,1,0</t>
  </si>
  <si>
    <t>#STARTDATE= 2013,11,06</t>
  </si>
  <si>
    <t>#STARTTIME= 12,03,44</t>
  </si>
  <si>
    <t>#OS= DOS</t>
  </si>
  <si>
    <t>#EOH=</t>
  </si>
  <si>
    <r>
      <t>Z</t>
    </r>
    <r>
      <rPr>
        <vertAlign val="subscript"/>
        <sz val="11"/>
        <color theme="1"/>
        <rFont val="Calibri"/>
        <family val="2"/>
        <scheme val="minor"/>
      </rPr>
      <t>surface</t>
    </r>
  </si>
  <si>
    <t>Surface level</t>
  </si>
  <si>
    <t>Soil profile (Geometrie gebaseerd op laagscheidingen)</t>
  </si>
  <si>
    <t>#FILEDATE= 2014,01,01</t>
  </si>
  <si>
    <t xml:space="preserve">   Total stress in layer 1</t>
  </si>
  <si>
    <t xml:space="preserve">   Total stress in layer 2</t>
  </si>
  <si>
    <t xml:space="preserve">   Total stress in layer 3</t>
  </si>
  <si>
    <t xml:space="preserve">   Sum</t>
  </si>
  <si>
    <t>#FILEOWNER= DELTARES</t>
  </si>
  <si>
    <t>Conusweerstand</t>
  </si>
  <si>
    <r>
      <t>N</t>
    </r>
    <r>
      <rPr>
        <vertAlign val="subscript"/>
        <sz val="11"/>
        <color theme="1"/>
        <rFont val="Calibri"/>
        <family val="2"/>
        <scheme val="minor"/>
      </rPr>
      <t>kt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</si>
  <si>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X</t>
    </r>
    <r>
      <rPr>
        <vertAlign val="superscript"/>
        <sz val="11"/>
        <color theme="1"/>
        <rFont val="Calibri"/>
        <family val="2"/>
        <scheme val="minor"/>
      </rPr>
      <t>(2)</t>
    </r>
  </si>
  <si>
    <r>
      <rPr>
        <vertAlign val="superscript"/>
        <sz val="10.5"/>
        <color theme="1"/>
        <rFont val="Arial"/>
        <family val="2"/>
      </rPr>
      <t>(1)</t>
    </r>
    <r>
      <rPr>
        <sz val="10.5"/>
        <color theme="1"/>
        <rFont val="Arial"/>
        <family val="2"/>
      </rPr>
      <t xml:space="preserve"> Relatie tussen sondeerweerstand en Su (tussen 10.0 – 30.0 ; default 17 )</t>
    </r>
  </si>
  <si>
    <r>
      <rPr>
        <vertAlign val="superscript"/>
        <sz val="10.5"/>
        <color theme="1"/>
        <rFont val="Arial"/>
        <family val="2"/>
      </rPr>
      <t>(2)</t>
    </r>
    <r>
      <rPr>
        <sz val="10.5"/>
        <color theme="1"/>
        <rFont val="Arial"/>
        <family val="2"/>
      </rPr>
      <t xml:space="preserve"> Parameter om het verschil in spanningsniveau tussen het moment waarop de sondering wordt uitgevoerd en extreme situatie te kunnen verdisconteren (tussen  0.1  – 10.0;  default 1.0)</t>
    </r>
  </si>
  <si>
    <t>Interval depth</t>
  </si>
  <si>
    <t>[m]</t>
  </si>
  <si>
    <r>
      <t>Aperture</t>
    </r>
    <r>
      <rPr>
        <vertAlign val="superscript"/>
        <sz val="11"/>
        <color theme="1"/>
        <rFont val="Calibri"/>
        <family val="2"/>
        <scheme val="minor"/>
      </rPr>
      <t>(a)</t>
    </r>
  </si>
  <si>
    <r>
      <rPr>
        <vertAlign val="superscript"/>
        <sz val="10.5"/>
        <color theme="1"/>
        <rFont val="Calibri"/>
        <family val="2"/>
        <scheme val="minor"/>
      </rPr>
      <t>(a)</t>
    </r>
    <r>
      <rPr>
        <sz val="10.5"/>
        <color theme="1"/>
        <rFont val="Calibri"/>
        <family val="2"/>
        <scheme val="minor"/>
      </rPr>
      <t xml:space="preserve"> Relatief oppervlakte van de spleet bij het waterspanningsfilter element van de conus (op te geven of in te lezen uit GEF)</t>
    </r>
  </si>
  <si>
    <t>Layer number for the determination of Nkt and X</t>
  </si>
  <si>
    <t>Layer number for the determination of the effective stress</t>
  </si>
  <si>
    <r>
      <t>[kN/m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</si>
  <si>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S</t>
    </r>
    <r>
      <rPr>
        <vertAlign val="subscript"/>
        <sz val="11"/>
        <color theme="1"/>
        <rFont val="Calibri"/>
        <family val="2"/>
        <scheme val="minor"/>
      </rPr>
      <t>u;top</t>
    </r>
  </si>
  <si>
    <r>
      <t>S</t>
    </r>
    <r>
      <rPr>
        <vertAlign val="subscript"/>
        <sz val="11"/>
        <color theme="1"/>
        <rFont val="Calibri"/>
        <family val="2"/>
        <scheme val="minor"/>
      </rPr>
      <t>u;gradient</t>
    </r>
  </si>
  <si>
    <r>
      <t>[kN/m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/m]</t>
    </r>
  </si>
  <si>
    <t>Row nr.</t>
  </si>
  <si>
    <t>Cells range Su-values</t>
  </si>
  <si>
    <t>Cells range z-values</t>
  </si>
  <si>
    <t>Input</t>
  </si>
  <si>
    <t>Calculated</t>
  </si>
  <si>
    <t>Error</t>
  </si>
  <si>
    <t>[%]</t>
  </si>
  <si>
    <t>[Mpa]</t>
  </si>
  <si>
    <t>Benchmark 03 for D-Soil Model</t>
  </si>
  <si>
    <t>Phreatic level is not present in the GEF file. The program should use the first positive value of u2 (i.e. -2m).</t>
  </si>
  <si>
    <t>Description</t>
  </si>
  <si>
    <t>Benchmark  number</t>
  </si>
  <si>
    <t>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</si>
</sst>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"/>
    <numFmt numFmtId="167" formatCode="0.000000"/>
  </numFmts>
  <fonts count="1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0.5"/>
      <color theme="1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vertAlign val="superscript"/>
      <sz val="10.5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.5"/>
      <color theme="0" tint="-0.249977111117893"/>
      <name val="Arial"/>
      <family val="2"/>
    </font>
    <font>
      <b/>
      <sz val="16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/>
      <top style="medium">
        <color rgb="FF0000FF"/>
      </top>
      <bottom style="medium">
        <color rgb="FF0000F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0000FF"/>
      </top>
      <bottom style="medium">
        <color rgb="FF0000FF"/>
      </bottom>
      <diagonal/>
    </border>
    <border>
      <left/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2" borderId="0" xfId="0" applyFill="1"/>
    <xf numFmtId="0" fontId="8" fillId="0" borderId="2" xfId="0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67" fontId="3" fillId="0" borderId="1" xfId="0" applyNumberFormat="1" applyFont="1" applyFill="1" applyBorder="1" applyAlignment="1">
      <alignment horizontal="center" vertical="center"/>
    </xf>
    <xf numFmtId="165" fontId="14" fillId="0" borderId="4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8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49" fontId="3" fillId="0" borderId="1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29483814523185"/>
          <c:y val="0.16579258834803742"/>
          <c:w val="0.83343182908588043"/>
          <c:h val="0.81563356023407974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 berekening'!$C$6</c:f>
              <c:strCache>
                <c:ptCount val="1"/>
                <c:pt idx="0">
                  <c:v>Conusweerstand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diamond"/>
            <c:size val="6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'Su berekening'!$C$11:$C$81</c:f>
              <c:numCache>
                <c:formatCode>0.000000</c:formatCode>
                <c:ptCount val="71"/>
                <c:pt idx="0">
                  <c:v>8.2755999999999996E-2</c:v>
                </c:pt>
                <c:pt idx="1">
                  <c:v>8.7583999999999995E-2</c:v>
                </c:pt>
                <c:pt idx="2">
                  <c:v>9.2411999999999994E-2</c:v>
                </c:pt>
                <c:pt idx="3">
                  <c:v>9.7239999999999993E-2</c:v>
                </c:pt>
                <c:pt idx="4">
                  <c:v>0.10206800000000001</c:v>
                </c:pt>
                <c:pt idx="5">
                  <c:v>0.106896</c:v>
                </c:pt>
                <c:pt idx="6">
                  <c:v>0.111724</c:v>
                </c:pt>
                <c:pt idx="7">
                  <c:v>0.116552</c:v>
                </c:pt>
                <c:pt idx="8">
                  <c:v>0.12138</c:v>
                </c:pt>
                <c:pt idx="9">
                  <c:v>0.12620799999999999</c:v>
                </c:pt>
                <c:pt idx="10">
                  <c:v>0.13103600000000001</c:v>
                </c:pt>
                <c:pt idx="11">
                  <c:v>0.13553399999999999</c:v>
                </c:pt>
                <c:pt idx="12">
                  <c:v>0.14003199999999999</c:v>
                </c:pt>
                <c:pt idx="13">
                  <c:v>0.14457</c:v>
                </c:pt>
                <c:pt idx="14">
                  <c:v>0.14906800000000001</c:v>
                </c:pt>
                <c:pt idx="15">
                  <c:v>0.15356600000000001</c:v>
                </c:pt>
                <c:pt idx="16">
                  <c:v>0.15806400000000001</c:v>
                </c:pt>
                <c:pt idx="17">
                  <c:v>0.16256200000000001</c:v>
                </c:pt>
                <c:pt idx="18">
                  <c:v>0.1671</c:v>
                </c:pt>
                <c:pt idx="19">
                  <c:v>0.171598</c:v>
                </c:pt>
                <c:pt idx="20">
                  <c:v>0.176096</c:v>
                </c:pt>
                <c:pt idx="21">
                  <c:v>0.180594</c:v>
                </c:pt>
                <c:pt idx="22">
                  <c:v>0.18509200000000001</c:v>
                </c:pt>
                <c:pt idx="23">
                  <c:v>0.18959000000000001</c:v>
                </c:pt>
                <c:pt idx="24">
                  <c:v>0.194128</c:v>
                </c:pt>
                <c:pt idx="25">
                  <c:v>0.198626</c:v>
                </c:pt>
                <c:pt idx="26">
                  <c:v>0.203124</c:v>
                </c:pt>
                <c:pt idx="27">
                  <c:v>0.207622</c:v>
                </c:pt>
                <c:pt idx="28">
                  <c:v>0.21212</c:v>
                </c:pt>
                <c:pt idx="29">
                  <c:v>0.21665799999999999</c:v>
                </c:pt>
                <c:pt idx="30">
                  <c:v>0.22115599999999999</c:v>
                </c:pt>
                <c:pt idx="31">
                  <c:v>0.16966300000000001</c:v>
                </c:pt>
                <c:pt idx="32">
                  <c:v>0.17052300000000001</c:v>
                </c:pt>
                <c:pt idx="33">
                  <c:v>0.17138300000000001</c:v>
                </c:pt>
                <c:pt idx="34">
                  <c:v>0.17228299999999999</c:v>
                </c:pt>
                <c:pt idx="35">
                  <c:v>0.17314299999999999</c:v>
                </c:pt>
                <c:pt idx="36">
                  <c:v>0.17400299999999999</c:v>
                </c:pt>
                <c:pt idx="37">
                  <c:v>0.17486299999999999</c:v>
                </c:pt>
                <c:pt idx="38">
                  <c:v>0.17572299999999999</c:v>
                </c:pt>
                <c:pt idx="39">
                  <c:v>0.176623</c:v>
                </c:pt>
                <c:pt idx="40">
                  <c:v>0.177483</c:v>
                </c:pt>
                <c:pt idx="41">
                  <c:v>0.178343</c:v>
                </c:pt>
                <c:pt idx="42">
                  <c:v>0.179203</c:v>
                </c:pt>
                <c:pt idx="43">
                  <c:v>0.180063</c:v>
                </c:pt>
                <c:pt idx="44">
                  <c:v>0.180923</c:v>
                </c:pt>
                <c:pt idx="45">
                  <c:v>0.18182300000000001</c:v>
                </c:pt>
                <c:pt idx="46">
                  <c:v>0.18268300000000001</c:v>
                </c:pt>
                <c:pt idx="47">
                  <c:v>0.18354300000000001</c:v>
                </c:pt>
                <c:pt idx="48">
                  <c:v>0.18440300000000001</c:v>
                </c:pt>
                <c:pt idx="49">
                  <c:v>0.18526300000000001</c:v>
                </c:pt>
                <c:pt idx="50">
                  <c:v>0.186163</c:v>
                </c:pt>
                <c:pt idx="51">
                  <c:v>9.5765000000000003E-2</c:v>
                </c:pt>
                <c:pt idx="52">
                  <c:v>9.5115000000000005E-2</c:v>
                </c:pt>
                <c:pt idx="53">
                  <c:v>9.4464999999999993E-2</c:v>
                </c:pt>
                <c:pt idx="54">
                  <c:v>9.3814999999999996E-2</c:v>
                </c:pt>
                <c:pt idx="55">
                  <c:v>9.3204999999999996E-2</c:v>
                </c:pt>
                <c:pt idx="56">
                  <c:v>9.2554999999999998E-2</c:v>
                </c:pt>
                <c:pt idx="57">
                  <c:v>9.1905000000000001E-2</c:v>
                </c:pt>
                <c:pt idx="58">
                  <c:v>9.1255000000000003E-2</c:v>
                </c:pt>
                <c:pt idx="59">
                  <c:v>9.0605000000000005E-2</c:v>
                </c:pt>
                <c:pt idx="60">
                  <c:v>8.9954999999999993E-2</c:v>
                </c:pt>
                <c:pt idx="61">
                  <c:v>8.9344999999999994E-2</c:v>
                </c:pt>
                <c:pt idx="62">
                  <c:v>8.8694999999999996E-2</c:v>
                </c:pt>
                <c:pt idx="63">
                  <c:v>8.8044999999999998E-2</c:v>
                </c:pt>
                <c:pt idx="64">
                  <c:v>8.7395E-2</c:v>
                </c:pt>
                <c:pt idx="65">
                  <c:v>8.6745000000000003E-2</c:v>
                </c:pt>
                <c:pt idx="66">
                  <c:v>8.6135000000000003E-2</c:v>
                </c:pt>
                <c:pt idx="67">
                  <c:v>8.5485000000000005E-2</c:v>
                </c:pt>
                <c:pt idx="68">
                  <c:v>8.4834999999999994E-2</c:v>
                </c:pt>
                <c:pt idx="69">
                  <c:v>8.4184999999999996E-2</c:v>
                </c:pt>
                <c:pt idx="70">
                  <c:v>8.3534999999999998E-2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'Su berekening'!$D$6</c:f>
              <c:strCache>
                <c:ptCount val="1"/>
                <c:pt idx="0">
                  <c:v>Waterspanning t.p.v u2 filter 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square"/>
            <c:size val="4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'Su berekening'!$D$11:$D$81</c:f>
              <c:numCache>
                <c:formatCode>0.0000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1E-3</c:v>
                </c:pt>
                <c:pt idx="12">
                  <c:v>2E-3</c:v>
                </c:pt>
                <c:pt idx="13">
                  <c:v>2.8999999999999998E-3</c:v>
                </c:pt>
                <c:pt idx="14">
                  <c:v>3.8999999999999998E-3</c:v>
                </c:pt>
                <c:pt idx="15">
                  <c:v>4.8999999999999998E-3</c:v>
                </c:pt>
                <c:pt idx="16">
                  <c:v>5.8999999999999999E-3</c:v>
                </c:pt>
                <c:pt idx="17">
                  <c:v>6.8999999999999999E-3</c:v>
                </c:pt>
                <c:pt idx="18">
                  <c:v>7.7999999999999996E-3</c:v>
                </c:pt>
                <c:pt idx="19">
                  <c:v>8.8000000000000005E-3</c:v>
                </c:pt>
                <c:pt idx="20">
                  <c:v>9.7999999999999997E-3</c:v>
                </c:pt>
                <c:pt idx="21">
                  <c:v>1.0800000000000001E-2</c:v>
                </c:pt>
                <c:pt idx="22">
                  <c:v>1.18E-2</c:v>
                </c:pt>
                <c:pt idx="23">
                  <c:v>1.2800000000000001E-2</c:v>
                </c:pt>
                <c:pt idx="24">
                  <c:v>1.37E-2</c:v>
                </c:pt>
                <c:pt idx="25">
                  <c:v>1.47E-2</c:v>
                </c:pt>
                <c:pt idx="26">
                  <c:v>1.5699999999999999E-2</c:v>
                </c:pt>
                <c:pt idx="27">
                  <c:v>1.67E-2</c:v>
                </c:pt>
                <c:pt idx="28">
                  <c:v>1.77E-2</c:v>
                </c:pt>
                <c:pt idx="29">
                  <c:v>1.8599999999999998E-2</c:v>
                </c:pt>
                <c:pt idx="30">
                  <c:v>1.9599999999999999E-2</c:v>
                </c:pt>
                <c:pt idx="31">
                  <c:v>2.06E-2</c:v>
                </c:pt>
                <c:pt idx="32">
                  <c:v>2.1600000000000001E-2</c:v>
                </c:pt>
                <c:pt idx="33">
                  <c:v>2.2599999999999999E-2</c:v>
                </c:pt>
                <c:pt idx="34">
                  <c:v>2.35E-2</c:v>
                </c:pt>
                <c:pt idx="35">
                  <c:v>2.4500000000000001E-2</c:v>
                </c:pt>
                <c:pt idx="36">
                  <c:v>2.5499999999999998E-2</c:v>
                </c:pt>
                <c:pt idx="37">
                  <c:v>2.6499999999999999E-2</c:v>
                </c:pt>
                <c:pt idx="38">
                  <c:v>2.75E-2</c:v>
                </c:pt>
                <c:pt idx="39">
                  <c:v>2.8400000000000002E-2</c:v>
                </c:pt>
                <c:pt idx="40">
                  <c:v>2.9399999999999999E-2</c:v>
                </c:pt>
                <c:pt idx="41">
                  <c:v>3.04E-2</c:v>
                </c:pt>
                <c:pt idx="42">
                  <c:v>3.1399999999999997E-2</c:v>
                </c:pt>
                <c:pt idx="43">
                  <c:v>3.2399999999999998E-2</c:v>
                </c:pt>
                <c:pt idx="44">
                  <c:v>3.3399999999999999E-2</c:v>
                </c:pt>
                <c:pt idx="45">
                  <c:v>3.4299999999999997E-2</c:v>
                </c:pt>
                <c:pt idx="46">
                  <c:v>3.5299999999999998E-2</c:v>
                </c:pt>
                <c:pt idx="47">
                  <c:v>3.6299999999999999E-2</c:v>
                </c:pt>
                <c:pt idx="48">
                  <c:v>3.73E-2</c:v>
                </c:pt>
                <c:pt idx="49">
                  <c:v>3.8300000000000001E-2</c:v>
                </c:pt>
                <c:pt idx="50">
                  <c:v>3.9199999999999999E-2</c:v>
                </c:pt>
                <c:pt idx="51">
                  <c:v>4.02E-2</c:v>
                </c:pt>
                <c:pt idx="52">
                  <c:v>4.1200000000000001E-2</c:v>
                </c:pt>
                <c:pt idx="53">
                  <c:v>4.2200000000000001E-2</c:v>
                </c:pt>
                <c:pt idx="54">
                  <c:v>4.3200000000000002E-2</c:v>
                </c:pt>
                <c:pt idx="55">
                  <c:v>4.41E-2</c:v>
                </c:pt>
                <c:pt idx="56">
                  <c:v>4.5100000000000001E-2</c:v>
                </c:pt>
                <c:pt idx="57">
                  <c:v>4.6100000000000002E-2</c:v>
                </c:pt>
                <c:pt idx="58">
                  <c:v>4.7100000000000003E-2</c:v>
                </c:pt>
                <c:pt idx="59">
                  <c:v>4.8099999999999997E-2</c:v>
                </c:pt>
                <c:pt idx="60">
                  <c:v>4.9099999999999998E-2</c:v>
                </c:pt>
                <c:pt idx="61">
                  <c:v>0.05</c:v>
                </c:pt>
                <c:pt idx="62">
                  <c:v>5.0999999999999997E-2</c:v>
                </c:pt>
                <c:pt idx="63">
                  <c:v>5.1999999999999998E-2</c:v>
                </c:pt>
                <c:pt idx="64">
                  <c:v>5.2999999999999999E-2</c:v>
                </c:pt>
                <c:pt idx="65">
                  <c:v>5.3999999999999999E-2</c:v>
                </c:pt>
                <c:pt idx="66">
                  <c:v>5.4899999999999997E-2</c:v>
                </c:pt>
                <c:pt idx="67">
                  <c:v>5.5899999999999998E-2</c:v>
                </c:pt>
                <c:pt idx="68">
                  <c:v>5.6899999999999999E-2</c:v>
                </c:pt>
                <c:pt idx="69">
                  <c:v>5.79E-2</c:v>
                </c:pt>
                <c:pt idx="70">
                  <c:v>5.8900000000000001E-2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451840"/>
        <c:axId val="80462208"/>
      </c:scatterChart>
      <c:valAx>
        <c:axId val="80451840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high"/>
        <c:txPr>
          <a:bodyPr/>
          <a:lstStyle/>
          <a:p>
            <a:pPr>
              <a:defRPr sz="1600"/>
            </a:pPr>
            <a:endParaRPr lang="en-US"/>
          </a:p>
        </c:txPr>
        <c:crossAx val="80462208"/>
        <c:crosses val="autoZero"/>
        <c:crossBetween val="midCat"/>
      </c:valAx>
      <c:valAx>
        <c:axId val="80462208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nl-NL" sz="2000"/>
                  <a:t>Depth [m NAP]</a:t>
                </a:r>
              </a:p>
            </c:rich>
          </c:tx>
          <c:layout>
            <c:manualLayout>
              <c:xMode val="edge"/>
              <c:yMode val="edge"/>
              <c:x val="2.0361386278328109E-2"/>
              <c:y val="0.4548724383103303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8045184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6.2364321395309459E-2"/>
          <c:y val="8.0168084384684025E-3"/>
          <c:w val="0.57025216605988771"/>
          <c:h val="9.3154579015138794E-2"/>
        </c:manualLayout>
      </c:layout>
      <c:overlay val="0"/>
      <c:txPr>
        <a:bodyPr/>
        <a:lstStyle/>
        <a:p>
          <a:pPr>
            <a:defRPr sz="20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394541257821371E-2"/>
          <c:y val="0.14446903269627309"/>
          <c:w val="0.89365250125225537"/>
          <c:h val="0.78241243360344725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 berekening'!$L$7</c:f>
              <c:strCache>
                <c:ptCount val="1"/>
                <c:pt idx="0">
                  <c:v>su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xVal>
            <c:numRef>
              <c:f>'Su berekening'!$L$11:$L$81</c:f>
              <c:numCache>
                <c:formatCode>0.000</c:formatCode>
                <c:ptCount val="71"/>
                <c:pt idx="0">
                  <c:v>3.069</c:v>
                </c:pt>
                <c:pt idx="1">
                  <c:v>3.2160000000000002</c:v>
                </c:pt>
                <c:pt idx="2">
                  <c:v>3.363</c:v>
                </c:pt>
                <c:pt idx="3">
                  <c:v>3.51</c:v>
                </c:pt>
                <c:pt idx="4">
                  <c:v>3.657</c:v>
                </c:pt>
                <c:pt idx="5">
                  <c:v>3.8040000000000003</c:v>
                </c:pt>
                <c:pt idx="6">
                  <c:v>3.9510000000000001</c:v>
                </c:pt>
                <c:pt idx="7">
                  <c:v>4.0979999999999999</c:v>
                </c:pt>
                <c:pt idx="8">
                  <c:v>4.2450000000000001</c:v>
                </c:pt>
                <c:pt idx="9">
                  <c:v>4.3919999999999995</c:v>
                </c:pt>
                <c:pt idx="10">
                  <c:v>4.5389999999999997</c:v>
                </c:pt>
                <c:pt idx="11">
                  <c:v>4.6859999999999999</c:v>
                </c:pt>
                <c:pt idx="12">
                  <c:v>4.8330000000000002</c:v>
                </c:pt>
                <c:pt idx="13">
                  <c:v>4.9799999999999995</c:v>
                </c:pt>
                <c:pt idx="14">
                  <c:v>5.1270000000000007</c:v>
                </c:pt>
                <c:pt idx="15">
                  <c:v>5.274</c:v>
                </c:pt>
                <c:pt idx="16">
                  <c:v>5.4210000000000003</c:v>
                </c:pt>
                <c:pt idx="17">
                  <c:v>5.5680000000000005</c:v>
                </c:pt>
                <c:pt idx="18">
                  <c:v>5.7149999999999999</c:v>
                </c:pt>
                <c:pt idx="19">
                  <c:v>5.8620000000000001</c:v>
                </c:pt>
                <c:pt idx="20">
                  <c:v>6.0090000000000003</c:v>
                </c:pt>
                <c:pt idx="21">
                  <c:v>6.1560000000000006</c:v>
                </c:pt>
                <c:pt idx="22">
                  <c:v>6.3030000000000008</c:v>
                </c:pt>
                <c:pt idx="23">
                  <c:v>6.45</c:v>
                </c:pt>
                <c:pt idx="24">
                  <c:v>6.5970000000000004</c:v>
                </c:pt>
                <c:pt idx="25">
                  <c:v>6.7439999999999998</c:v>
                </c:pt>
                <c:pt idx="26">
                  <c:v>6.891</c:v>
                </c:pt>
                <c:pt idx="27">
                  <c:v>7.0380000000000003</c:v>
                </c:pt>
                <c:pt idx="28">
                  <c:v>7.1849999999999996</c:v>
                </c:pt>
                <c:pt idx="29">
                  <c:v>7.3319999999999999</c:v>
                </c:pt>
                <c:pt idx="30">
                  <c:v>7.4790000000000001</c:v>
                </c:pt>
                <c:pt idx="31">
                  <c:v>7.4790000000000001</c:v>
                </c:pt>
                <c:pt idx="32">
                  <c:v>7.4790000000000001</c:v>
                </c:pt>
                <c:pt idx="33">
                  <c:v>7.4790000000000001</c:v>
                </c:pt>
                <c:pt idx="34">
                  <c:v>7.4790000000000001</c:v>
                </c:pt>
                <c:pt idx="35">
                  <c:v>7.4790000000000001</c:v>
                </c:pt>
                <c:pt idx="36">
                  <c:v>7.4790000000000001</c:v>
                </c:pt>
                <c:pt idx="37">
                  <c:v>7.4790000000000001</c:v>
                </c:pt>
                <c:pt idx="38">
                  <c:v>7.4790000000000001</c:v>
                </c:pt>
                <c:pt idx="39">
                  <c:v>7.4790000000000001</c:v>
                </c:pt>
                <c:pt idx="40">
                  <c:v>7.4790000000000001</c:v>
                </c:pt>
                <c:pt idx="41">
                  <c:v>7.4790000000000001</c:v>
                </c:pt>
                <c:pt idx="42">
                  <c:v>7.4790000000000001</c:v>
                </c:pt>
                <c:pt idx="43">
                  <c:v>7.4790000000000001</c:v>
                </c:pt>
                <c:pt idx="44">
                  <c:v>7.4790000000000001</c:v>
                </c:pt>
                <c:pt idx="45">
                  <c:v>7.4790000000000001</c:v>
                </c:pt>
                <c:pt idx="46">
                  <c:v>7.4790000000000001</c:v>
                </c:pt>
                <c:pt idx="47">
                  <c:v>7.4790000000000001</c:v>
                </c:pt>
                <c:pt idx="48">
                  <c:v>7.4790000000000001</c:v>
                </c:pt>
                <c:pt idx="49">
                  <c:v>7.4790000000000001</c:v>
                </c:pt>
                <c:pt idx="50">
                  <c:v>7.4790000000000001</c:v>
                </c:pt>
                <c:pt idx="51">
                  <c:v>7.1990000000000007</c:v>
                </c:pt>
                <c:pt idx="52">
                  <c:v>6.9189999999999996</c:v>
                </c:pt>
                <c:pt idx="53">
                  <c:v>6.6390000000000011</c:v>
                </c:pt>
                <c:pt idx="54">
                  <c:v>6.3589999999999991</c:v>
                </c:pt>
                <c:pt idx="55">
                  <c:v>6.0790000000000006</c:v>
                </c:pt>
                <c:pt idx="56">
                  <c:v>5.7990000000000013</c:v>
                </c:pt>
                <c:pt idx="57">
                  <c:v>5.5190000000000001</c:v>
                </c:pt>
                <c:pt idx="58">
                  <c:v>5.2390000000000008</c:v>
                </c:pt>
                <c:pt idx="59">
                  <c:v>4.9589999999999996</c:v>
                </c:pt>
                <c:pt idx="60">
                  <c:v>4.6790000000000003</c:v>
                </c:pt>
                <c:pt idx="61">
                  <c:v>4.3990000000000009</c:v>
                </c:pt>
                <c:pt idx="62">
                  <c:v>4.1189999999999998</c:v>
                </c:pt>
                <c:pt idx="63">
                  <c:v>3.8390000000000009</c:v>
                </c:pt>
                <c:pt idx="64">
                  <c:v>3.5589999999999993</c:v>
                </c:pt>
                <c:pt idx="65">
                  <c:v>3.2790000000000008</c:v>
                </c:pt>
                <c:pt idx="66">
                  <c:v>2.9990000000000014</c:v>
                </c:pt>
                <c:pt idx="67">
                  <c:v>2.7190000000000003</c:v>
                </c:pt>
                <c:pt idx="68">
                  <c:v>2.4390000000000009</c:v>
                </c:pt>
                <c:pt idx="69">
                  <c:v>2.1589999999999998</c:v>
                </c:pt>
                <c:pt idx="70">
                  <c:v>1.8790000000000004</c:v>
                </c:pt>
              </c:numCache>
            </c:numRef>
          </c:xVal>
          <c:yVal>
            <c:numRef>
              <c:f>'Su berekening'!$B$11:$B$81</c:f>
              <c:numCache>
                <c:formatCode>General</c:formatCode>
                <c:ptCount val="71"/>
                <c:pt idx="0">
                  <c:v>-1</c:v>
                </c:pt>
                <c:pt idx="1">
                  <c:v>-1.1000000000000001</c:v>
                </c:pt>
                <c:pt idx="2">
                  <c:v>-1.2</c:v>
                </c:pt>
                <c:pt idx="3">
                  <c:v>-1.3</c:v>
                </c:pt>
                <c:pt idx="4">
                  <c:v>-1.4</c:v>
                </c:pt>
                <c:pt idx="5">
                  <c:v>-1.5</c:v>
                </c:pt>
                <c:pt idx="6">
                  <c:v>-1.6</c:v>
                </c:pt>
                <c:pt idx="7">
                  <c:v>-1.7</c:v>
                </c:pt>
                <c:pt idx="8">
                  <c:v>-1.8</c:v>
                </c:pt>
                <c:pt idx="9">
                  <c:v>-1.9</c:v>
                </c:pt>
                <c:pt idx="10">
                  <c:v>-2</c:v>
                </c:pt>
                <c:pt idx="11">
                  <c:v>-2.1</c:v>
                </c:pt>
                <c:pt idx="12">
                  <c:v>-2.2000000000000002</c:v>
                </c:pt>
                <c:pt idx="13">
                  <c:v>-2.2999999999999998</c:v>
                </c:pt>
                <c:pt idx="14">
                  <c:v>-2.4</c:v>
                </c:pt>
                <c:pt idx="15">
                  <c:v>-2.5</c:v>
                </c:pt>
                <c:pt idx="16">
                  <c:v>-2.6</c:v>
                </c:pt>
                <c:pt idx="17">
                  <c:v>-2.7</c:v>
                </c:pt>
                <c:pt idx="18">
                  <c:v>-2.8</c:v>
                </c:pt>
                <c:pt idx="19">
                  <c:v>-2.9</c:v>
                </c:pt>
                <c:pt idx="20">
                  <c:v>-3</c:v>
                </c:pt>
                <c:pt idx="21">
                  <c:v>-3.1</c:v>
                </c:pt>
                <c:pt idx="22">
                  <c:v>-3.2</c:v>
                </c:pt>
                <c:pt idx="23">
                  <c:v>-3.3</c:v>
                </c:pt>
                <c:pt idx="24">
                  <c:v>-3.4</c:v>
                </c:pt>
                <c:pt idx="25">
                  <c:v>-3.5</c:v>
                </c:pt>
                <c:pt idx="26">
                  <c:v>-3.6</c:v>
                </c:pt>
                <c:pt idx="27">
                  <c:v>-3.7</c:v>
                </c:pt>
                <c:pt idx="28">
                  <c:v>-3.8</c:v>
                </c:pt>
                <c:pt idx="29">
                  <c:v>-3.9</c:v>
                </c:pt>
                <c:pt idx="30">
                  <c:v>-4</c:v>
                </c:pt>
                <c:pt idx="31">
                  <c:v>-4.0999999999999996</c:v>
                </c:pt>
                <c:pt idx="32">
                  <c:v>-4.2</c:v>
                </c:pt>
                <c:pt idx="33">
                  <c:v>-4.3</c:v>
                </c:pt>
                <c:pt idx="34">
                  <c:v>-4.4000000000000004</c:v>
                </c:pt>
                <c:pt idx="35">
                  <c:v>-4.5</c:v>
                </c:pt>
                <c:pt idx="36">
                  <c:v>-4.5999999999999996</c:v>
                </c:pt>
                <c:pt idx="37">
                  <c:v>-4.7</c:v>
                </c:pt>
                <c:pt idx="38">
                  <c:v>-4.8</c:v>
                </c:pt>
                <c:pt idx="39">
                  <c:v>-4.9000000000000004</c:v>
                </c:pt>
                <c:pt idx="40">
                  <c:v>-5</c:v>
                </c:pt>
                <c:pt idx="41">
                  <c:v>-5.0999999999999996</c:v>
                </c:pt>
                <c:pt idx="42">
                  <c:v>-5.2</c:v>
                </c:pt>
                <c:pt idx="43">
                  <c:v>-5.3</c:v>
                </c:pt>
                <c:pt idx="44">
                  <c:v>-5.4</c:v>
                </c:pt>
                <c:pt idx="45">
                  <c:v>-5.5</c:v>
                </c:pt>
                <c:pt idx="46">
                  <c:v>-5.6</c:v>
                </c:pt>
                <c:pt idx="47">
                  <c:v>-5.7</c:v>
                </c:pt>
                <c:pt idx="48">
                  <c:v>-5.8</c:v>
                </c:pt>
                <c:pt idx="49">
                  <c:v>-5.9</c:v>
                </c:pt>
                <c:pt idx="50">
                  <c:v>-6</c:v>
                </c:pt>
                <c:pt idx="51">
                  <c:v>-6.1</c:v>
                </c:pt>
                <c:pt idx="52">
                  <c:v>-6.2</c:v>
                </c:pt>
                <c:pt idx="53">
                  <c:v>-6.3</c:v>
                </c:pt>
                <c:pt idx="54">
                  <c:v>-6.4</c:v>
                </c:pt>
                <c:pt idx="55">
                  <c:v>-6.5</c:v>
                </c:pt>
                <c:pt idx="56">
                  <c:v>-6.6</c:v>
                </c:pt>
                <c:pt idx="57">
                  <c:v>-6.7</c:v>
                </c:pt>
                <c:pt idx="58">
                  <c:v>-6.8</c:v>
                </c:pt>
                <c:pt idx="59">
                  <c:v>-6.9</c:v>
                </c:pt>
                <c:pt idx="60">
                  <c:v>-7</c:v>
                </c:pt>
                <c:pt idx="61">
                  <c:v>-7.1</c:v>
                </c:pt>
                <c:pt idx="62">
                  <c:v>-7.2</c:v>
                </c:pt>
                <c:pt idx="63">
                  <c:v>-7.3</c:v>
                </c:pt>
                <c:pt idx="64">
                  <c:v>-7.4</c:v>
                </c:pt>
                <c:pt idx="65">
                  <c:v>-7.5</c:v>
                </c:pt>
                <c:pt idx="66">
                  <c:v>-7.6</c:v>
                </c:pt>
                <c:pt idx="67">
                  <c:v>-7.7</c:v>
                </c:pt>
                <c:pt idx="68">
                  <c:v>-7.8</c:v>
                </c:pt>
                <c:pt idx="69">
                  <c:v>-7.9</c:v>
                </c:pt>
                <c:pt idx="70">
                  <c:v>-8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'Soil profile'!$A$16</c:f>
              <c:strCache>
                <c:ptCount val="1"/>
                <c:pt idx="0">
                  <c:v>1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dPt>
            <c:idx val="0"/>
            <c:marker>
              <c:symbol val="none"/>
            </c:marker>
            <c:bubble3D val="0"/>
          </c:dPt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profile'!$B$16,'Soil profile'!$B$16)</c:f>
              <c:numCache>
                <c:formatCode>General</c:formatCode>
                <c:ptCount val="2"/>
                <c:pt idx="0">
                  <c:v>-0.3</c:v>
                </c:pt>
                <c:pt idx="1">
                  <c:v>-0.3</c:v>
                </c:pt>
              </c:numCache>
            </c:numRef>
          </c:yVal>
          <c:smooth val="0"/>
        </c:ser>
        <c:ser>
          <c:idx val="2"/>
          <c:order val="2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profile'!$B$17,'Soil profile'!$B$17)</c:f>
              <c:numCache>
                <c:formatCode>General</c:formatCode>
                <c:ptCount val="2"/>
                <c:pt idx="0">
                  <c:v>-4</c:v>
                </c:pt>
                <c:pt idx="1">
                  <c:v>-4</c:v>
                </c:pt>
              </c:numCache>
            </c:numRef>
          </c:yVal>
          <c:smooth val="0"/>
        </c:ser>
        <c:ser>
          <c:idx val="3"/>
          <c:order val="3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1000</c:v>
              </c:pt>
            </c:numLit>
          </c:xVal>
          <c:yVal>
            <c:numRef>
              <c:f>('Soil profile'!$B$18,'Soil profile'!$B$18)</c:f>
              <c:numCache>
                <c:formatCode>General</c:formatCode>
                <c:ptCount val="2"/>
                <c:pt idx="0">
                  <c:v>-6</c:v>
                </c:pt>
                <c:pt idx="1">
                  <c:v>-6</c:v>
                </c:pt>
              </c:numCache>
            </c:numRef>
          </c:yVal>
          <c:smooth val="0"/>
        </c:ser>
        <c:ser>
          <c:idx val="4"/>
          <c:order val="4"/>
          <c:spPr>
            <a:ln w="19050">
              <a:solidFill>
                <a:schemeClr val="accent1"/>
              </a:solidFill>
              <a:prstDash val="dash"/>
            </a:ln>
          </c:spPr>
          <c:marker>
            <c:symbol val="none"/>
          </c:marker>
          <c:xVal>
            <c:numRef>
              <c:f>'Su berekening'!$L$10:$L$11</c:f>
              <c:numCache>
                <c:formatCode>0.000</c:formatCode>
                <c:ptCount val="2"/>
                <c:pt idx="0">
                  <c:v>2.04</c:v>
                </c:pt>
                <c:pt idx="1">
                  <c:v>3.069</c:v>
                </c:pt>
              </c:numCache>
            </c:numRef>
          </c:xVal>
          <c:yVal>
            <c:numRef>
              <c:f>'Su berekening'!$B$10:$B$11</c:f>
              <c:numCache>
                <c:formatCode>General</c:formatCode>
                <c:ptCount val="2"/>
                <c:pt idx="0">
                  <c:v>-0.3</c:v>
                </c:pt>
                <c:pt idx="1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523264"/>
        <c:axId val="80525184"/>
      </c:scatterChart>
      <c:valAx>
        <c:axId val="80523264"/>
        <c:scaling>
          <c:orientation val="minMax"/>
          <c:max val="9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nl-NL" sz="1800" b="1" i="0" baseline="0">
                    <a:effectLst/>
                  </a:rPr>
                  <a:t>Undrained shear strength s</a:t>
                </a:r>
                <a:r>
                  <a:rPr lang="nl-NL" sz="1800" b="1" i="0" baseline="-25000">
                    <a:effectLst/>
                  </a:rPr>
                  <a:t>u</a:t>
                </a:r>
                <a:r>
                  <a:rPr lang="nl-NL" sz="1800" b="1" i="0" baseline="0">
                    <a:effectLst/>
                  </a:rPr>
                  <a:t> [kPa]</a:t>
                </a:r>
                <a:endParaRPr lang="nl-NL">
                  <a:effectLst/>
                </a:endParaRPr>
              </a:p>
            </c:rich>
          </c:tx>
          <c:layout>
            <c:manualLayout>
              <c:xMode val="edge"/>
              <c:yMode val="edge"/>
              <c:x val="0.34227454726857798"/>
              <c:y val="2.5836101173480765E-2"/>
            </c:manualLayout>
          </c:layout>
          <c:overlay val="0"/>
        </c:title>
        <c:numFmt formatCode="General" sourceLinked="0"/>
        <c:majorTickMark val="out"/>
        <c:minorTickMark val="none"/>
        <c:tickLblPos val="high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en-US"/>
          </a:p>
        </c:txPr>
        <c:crossAx val="80525184"/>
        <c:crosses val="autoZero"/>
        <c:crossBetween val="midCat"/>
      </c:valAx>
      <c:valAx>
        <c:axId val="8052518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Depth [m NAP]</a:t>
                </a:r>
              </a:p>
            </c:rich>
          </c:tx>
          <c:layout>
            <c:manualLayout>
              <c:xMode val="edge"/>
              <c:yMode val="edge"/>
              <c:x val="4.3576496285940205E-3"/>
              <c:y val="0.39866148126578543"/>
            </c:manualLayout>
          </c:layout>
          <c:overlay val="0"/>
        </c:title>
        <c:numFmt formatCode="General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en-US"/>
          </a:p>
        </c:txPr>
        <c:crossAx val="80523264"/>
        <c:crosses val="autoZero"/>
        <c:crossBetween val="midCat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180975</xdr:colOff>
      <xdr:row>0</xdr:row>
      <xdr:rowOff>66675</xdr:rowOff>
    </xdr:from>
    <xdr:to>
      <xdr:col>23</xdr:col>
      <xdr:colOff>733425</xdr:colOff>
      <xdr:row>29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>
      <selection activeCell="F5" sqref="F5"/>
    </sheetView>
  </sheetViews>
  <sheetFormatPr defaultColWidth="15" defaultRowHeight="14.4" x14ac:dyDescent="0.3"/>
  <cols>
    <col min="1" max="1" width="21" style="3" customWidth="1"/>
    <col min="2" max="8" width="15" style="3"/>
    <col min="9" max="9" width="18.5546875" style="3" bestFit="1" customWidth="1"/>
    <col min="10" max="10" width="15" style="3"/>
    <col min="11" max="11" width="26.109375" style="22" bestFit="1" customWidth="1"/>
    <col min="12" max="12" width="18.44140625" style="22" customWidth="1"/>
    <col min="13" max="14" width="15" style="22"/>
    <col min="15" max="17" width="15" style="8"/>
    <col min="18" max="16384" width="15" style="3"/>
  </cols>
  <sheetData>
    <row r="1" spans="1:17" ht="21" x14ac:dyDescent="0.25">
      <c r="A1" s="37" t="s">
        <v>123</v>
      </c>
    </row>
    <row r="2" spans="1:17" ht="15.75" thickBot="1" x14ac:dyDescent="0.3">
      <c r="A2" s="5"/>
    </row>
    <row r="3" spans="1:17" ht="15.75" thickBot="1" x14ac:dyDescent="0.3">
      <c r="A3" s="5" t="s">
        <v>125</v>
      </c>
      <c r="C3" s="45" t="s">
        <v>124</v>
      </c>
      <c r="D3" s="46"/>
      <c r="E3" s="46"/>
      <c r="F3" s="46"/>
      <c r="G3" s="46"/>
      <c r="H3" s="46"/>
      <c r="I3" s="46"/>
      <c r="J3" s="47"/>
    </row>
    <row r="4" spans="1:17" ht="15.75" thickBot="1" x14ac:dyDescent="0.3">
      <c r="A4" s="5" t="s">
        <v>126</v>
      </c>
      <c r="C4" s="39" t="s">
        <v>127</v>
      </c>
      <c r="D4" s="38"/>
      <c r="E4" s="38"/>
      <c r="F4" s="38"/>
      <c r="G4" s="38"/>
      <c r="H4" s="38"/>
    </row>
    <row r="5" spans="1:17" ht="15.75" thickBot="1" x14ac:dyDescent="0.3"/>
    <row r="6" spans="1:17" ht="18.75" thickBot="1" x14ac:dyDescent="0.3">
      <c r="A6" s="5" t="s">
        <v>19</v>
      </c>
      <c r="B6" s="3" t="s">
        <v>20</v>
      </c>
      <c r="C6" s="4">
        <v>-2</v>
      </c>
      <c r="D6" s="3" t="s">
        <v>1</v>
      </c>
    </row>
    <row r="7" spans="1:17" ht="18.75" thickBot="1" x14ac:dyDescent="0.3">
      <c r="A7" s="5" t="s">
        <v>92</v>
      </c>
      <c r="B7" s="3" t="s">
        <v>91</v>
      </c>
      <c r="C7" s="4">
        <v>-0.3</v>
      </c>
      <c r="D7" s="3" t="s">
        <v>1</v>
      </c>
    </row>
    <row r="8" spans="1:17" s="16" customFormat="1" ht="18" thickBot="1" x14ac:dyDescent="0.3">
      <c r="A8" s="17" t="s">
        <v>107</v>
      </c>
      <c r="B8" s="16" t="s">
        <v>10</v>
      </c>
      <c r="C8" s="4">
        <v>0.6</v>
      </c>
      <c r="D8" s="16" t="s">
        <v>23</v>
      </c>
      <c r="M8" s="19"/>
      <c r="N8" s="19"/>
    </row>
    <row r="9" spans="1:17" s="16" customFormat="1" ht="15" x14ac:dyDescent="0.25">
      <c r="A9" s="44" t="s">
        <v>108</v>
      </c>
      <c r="B9" s="44"/>
      <c r="C9" s="44"/>
      <c r="D9" s="44"/>
      <c r="E9" s="44"/>
      <c r="F9" s="44"/>
      <c r="G9" s="44"/>
      <c r="H9" s="44"/>
      <c r="I9" s="44"/>
      <c r="M9" s="19"/>
      <c r="N9" s="19"/>
    </row>
    <row r="10" spans="1:17" ht="15" x14ac:dyDescent="0.25">
      <c r="A10" s="5"/>
      <c r="C10" s="32"/>
    </row>
    <row r="12" spans="1:17" ht="16.5" thickBot="1" x14ac:dyDescent="0.3">
      <c r="A12" s="11" t="s">
        <v>93</v>
      </c>
      <c r="M12" s="22" t="s">
        <v>25</v>
      </c>
    </row>
    <row r="13" spans="1:17" s="1" customFormat="1" ht="30.75" thickBot="1" x14ac:dyDescent="0.3">
      <c r="A13" s="1" t="s">
        <v>12</v>
      </c>
      <c r="B13" s="1" t="s">
        <v>13</v>
      </c>
      <c r="C13" s="1" t="s">
        <v>16</v>
      </c>
      <c r="D13" s="1" t="s">
        <v>14</v>
      </c>
      <c r="G13" s="40" t="s">
        <v>118</v>
      </c>
      <c r="H13" s="41"/>
      <c r="I13" s="42" t="s">
        <v>119</v>
      </c>
      <c r="J13" s="43"/>
      <c r="K13" s="23"/>
      <c r="L13" s="23"/>
      <c r="M13" s="23" t="str">
        <f>B13</f>
        <v>Top level</v>
      </c>
      <c r="N13" s="23" t="str">
        <f>A13</f>
        <v>Laag nr.</v>
      </c>
      <c r="O13" s="7"/>
      <c r="P13" s="7"/>
      <c r="Q13" s="7"/>
    </row>
    <row r="14" spans="1:17" ht="18" x14ac:dyDescent="0.25">
      <c r="C14" s="3" t="s">
        <v>17</v>
      </c>
      <c r="D14" s="3" t="s">
        <v>18</v>
      </c>
      <c r="E14" s="3" t="s">
        <v>101</v>
      </c>
      <c r="F14" s="3" t="s">
        <v>102</v>
      </c>
      <c r="G14" s="3" t="s">
        <v>112</v>
      </c>
      <c r="H14" s="3" t="s">
        <v>113</v>
      </c>
      <c r="I14" s="3" t="s">
        <v>112</v>
      </c>
      <c r="J14" s="3" t="s">
        <v>113</v>
      </c>
      <c r="K14" s="22" t="s">
        <v>116</v>
      </c>
      <c r="L14" s="22" t="s">
        <v>117</v>
      </c>
    </row>
    <row r="15" spans="1:17" ht="18" thickBot="1" x14ac:dyDescent="0.3">
      <c r="B15" s="3" t="s">
        <v>1</v>
      </c>
      <c r="C15" s="3" t="s">
        <v>15</v>
      </c>
      <c r="D15" s="3" t="s">
        <v>15</v>
      </c>
      <c r="E15" s="3" t="s">
        <v>23</v>
      </c>
      <c r="F15" s="3" t="s">
        <v>23</v>
      </c>
      <c r="G15" s="3" t="s">
        <v>111</v>
      </c>
      <c r="H15" s="3" t="s">
        <v>114</v>
      </c>
      <c r="I15" s="3" t="s">
        <v>111</v>
      </c>
      <c r="J15" s="3" t="s">
        <v>114</v>
      </c>
      <c r="M15" s="22">
        <f>MIN('Su berekening'!B11:B81)</f>
        <v>-8</v>
      </c>
      <c r="N15" s="22">
        <f>N16+1</f>
        <v>4</v>
      </c>
    </row>
    <row r="16" spans="1:17" ht="15.75" thickBot="1" x14ac:dyDescent="0.3">
      <c r="A16" s="3">
        <v>1</v>
      </c>
      <c r="B16" s="13">
        <f>Zsurface</f>
        <v>-0.3</v>
      </c>
      <c r="C16" s="4">
        <v>13</v>
      </c>
      <c r="D16" s="4">
        <v>13.7</v>
      </c>
      <c r="E16" s="9">
        <v>12</v>
      </c>
      <c r="F16" s="9">
        <v>0.5</v>
      </c>
      <c r="G16" s="27">
        <v>2.04</v>
      </c>
      <c r="H16" s="28">
        <v>1.47</v>
      </c>
      <c r="I16" s="26">
        <f ca="1">IF(J16=0,I17,(B16-INDEX(LINEST(INDIRECT(L16),INDIRECT(K16),),2))/INDEX(LINEST(INDIRECT(L16),INDIRECT(K16),),1))</f>
        <v>2.0400000000000014</v>
      </c>
      <c r="J16" s="21">
        <f ca="1">-1/INDEX(LINEST(INDIRECT(L16),INDIRECT(K16),),1)</f>
        <v>1.4699999999999995</v>
      </c>
      <c r="K16" s="22" t="str">
        <f>ADDRESS(VLOOKUP($A16,'Su berekening'!$E$11:$O$81,COLUMNS('Su berekening'!$E10:$O10),),COLUMN('Su berekening'!$L:$L),,,"Su berekening")&amp;":"&amp;ADDRESS(VLOOKUP($A16,'Su berekening'!$E$11:$O$81,COLUMNS('Su berekening'!$E10:$O10),)+COUNTIF('Su berekening'!$E$11:$E$81,"="&amp;$A16)-1,COLUMN('Su berekening'!$L:$L))</f>
        <v>'Su berekening'!$L$11:$L$41</v>
      </c>
      <c r="L16" s="22" t="str">
        <f>ADDRESS(VLOOKUP($A16,'Su berekening'!$E$11:$O$81,COLUMNS('Su berekening'!$E10:$O10),),COLUMN('Su berekening'!$B:$B),,,"Su berekening")&amp;":"&amp;ADDRESS(VLOOKUP($A16,'Su berekening'!$E$11:$O$81,COLUMNS('Su berekening'!$E10:$O10),)+COUNTIF('Su berekening'!$E$11:$E$81,"="&amp;$A16)-1,COLUMN('Su berekening'!$B:$B))</f>
        <v>'Su berekening'!$B$11:$B$41</v>
      </c>
      <c r="M16" s="22">
        <f>Ztop3</f>
        <v>-6</v>
      </c>
      <c r="N16" s="22">
        <f>A18</f>
        <v>3</v>
      </c>
    </row>
    <row r="17" spans="1:17" ht="15.75" thickBot="1" x14ac:dyDescent="0.3">
      <c r="A17" s="3">
        <v>2</v>
      </c>
      <c r="B17" s="4">
        <v>-4</v>
      </c>
      <c r="C17" s="4">
        <v>12</v>
      </c>
      <c r="D17" s="4">
        <v>12.6</v>
      </c>
      <c r="E17" s="9">
        <v>17</v>
      </c>
      <c r="F17" s="9">
        <v>1</v>
      </c>
      <c r="G17" s="29">
        <f>G16+H16*(B16-B17)</f>
        <v>7.4790000000000001</v>
      </c>
      <c r="H17" s="28">
        <v>0</v>
      </c>
      <c r="I17" s="26">
        <f ca="1">IF(J17=0,I18,(B17-INDEX(LINEST(INDIRECT(L17),INDIRECT(K17),),2))/INDEX(LINEST(INDIRECT(L17),INDIRECT(K17),),1))</f>
        <v>7.4789999999999974</v>
      </c>
      <c r="J17" s="21">
        <f ca="1">IF(INDEX(LINEST(INDIRECT(L17),INDIRECT(K17),),1)=0,0,-1/INDEX(LINEST(INDIRECT(L17),INDIRECT(K17),),1))</f>
        <v>0</v>
      </c>
      <c r="K17" s="22" t="str">
        <f>ADDRESS(VLOOKUP($A17,'Su berekening'!$E$11:$O$81,COLUMNS('Su berekening'!$E11:$O11),),COLUMN('Su berekening'!$L:$L),,,"Su berekening")&amp;":"&amp;ADDRESS(VLOOKUP($A17,'Su berekening'!$E$11:$O$81,COLUMNS('Su berekening'!$E11:$O11),)+COUNTIF('Su berekening'!$E$11:$E$81,"="&amp;$A17)-1,COLUMN('Su berekening'!$L:$L))</f>
        <v>'Su berekening'!$L$42:$L$61</v>
      </c>
      <c r="L17" s="22" t="str">
        <f>ADDRESS(VLOOKUP($A17,'Su berekening'!$E$11:$O$81,COLUMNS('Su berekening'!$E11:$O11),),COLUMN('Su berekening'!$B:$B),,,"Su berekening")&amp;":"&amp;ADDRESS(VLOOKUP($A17,'Su berekening'!$E$11:$O$81,COLUMNS('Su berekening'!$E11:$O11),)+COUNTIF('Su berekening'!$E$11:$E$81,"="&amp;$A17)-1,COLUMN('Su berekening'!$B:$B))</f>
        <v>'Su berekening'!$B$42:$B$61</v>
      </c>
      <c r="M17" s="22">
        <f>Ztop2</f>
        <v>-4</v>
      </c>
      <c r="N17" s="22">
        <f>A17</f>
        <v>2</v>
      </c>
    </row>
    <row r="18" spans="1:17" ht="15.75" thickBot="1" x14ac:dyDescent="0.3">
      <c r="A18" s="3">
        <v>3</v>
      </c>
      <c r="B18" s="4">
        <v>-6</v>
      </c>
      <c r="C18" s="4">
        <v>10</v>
      </c>
      <c r="D18" s="4">
        <v>11.5</v>
      </c>
      <c r="E18" s="9">
        <v>25</v>
      </c>
      <c r="F18" s="9">
        <v>5</v>
      </c>
      <c r="G18" s="29">
        <f>G17+H17*(B17-B18)</f>
        <v>7.4790000000000001</v>
      </c>
      <c r="H18" s="28">
        <v>-2.8</v>
      </c>
      <c r="I18" s="26">
        <f ca="1">IF(J18=0,I19,(B18-INDEX(LINEST(INDIRECT(L18),INDIRECT(K18),),2))/INDEX(LINEST(INDIRECT(L18),INDIRECT(K18),),1))</f>
        <v>7.4789999999999974</v>
      </c>
      <c r="J18" s="21">
        <f t="shared" ref="J18" ca="1" si="0">-1/INDEX(LINEST(INDIRECT(L18),INDIRECT(K18),),1)</f>
        <v>-2.7999999999999989</v>
      </c>
      <c r="K18" s="22" t="str">
        <f>ADDRESS(VLOOKUP($A18,'Su berekening'!$E$11:$O$81,COLUMNS('Su berekening'!$E12:$O12),),COLUMN('Su berekening'!$L:$L),,,"Su berekening")&amp;":"&amp;ADDRESS(VLOOKUP($A18,'Su berekening'!$E$11:$O$81,COLUMNS('Su berekening'!$E12:$O12),)+COUNTIF('Su berekening'!$E$11:$E$81,"="&amp;$A18)-1,COLUMN('Su berekening'!$L:$L))</f>
        <v>'Su berekening'!$L$62:$L$81</v>
      </c>
      <c r="L18" s="22" t="str">
        <f>ADDRESS(VLOOKUP($A18,'Su berekening'!$E$11:$O$81,COLUMNS('Su berekening'!$E12:$O12),),COLUMN('Su berekening'!$B:$B),,,"Su berekening")&amp;":"&amp;ADDRESS(VLOOKUP($A18,'Su berekening'!$E$11:$O$81,COLUMNS('Su berekening'!$E12:$O12),)+COUNTIF('Su berekening'!$E$11:$E$81,"="&amp;$A18)-1,COLUMN('Su berekening'!$B:$B))</f>
        <v>'Su berekening'!$B$62:$B$81</v>
      </c>
      <c r="M18" s="22">
        <f>Ztop1</f>
        <v>-0.3</v>
      </c>
      <c r="N18" s="22">
        <f>A16</f>
        <v>1</v>
      </c>
    </row>
    <row r="19" spans="1:17" ht="15" x14ac:dyDescent="0.25">
      <c r="A19" s="3">
        <v>4</v>
      </c>
      <c r="B19" s="3">
        <f>MIN('Su berekening'!B11:B81)</f>
        <v>-8</v>
      </c>
      <c r="C19" s="3">
        <f>C18</f>
        <v>10</v>
      </c>
      <c r="D19" s="3">
        <f t="shared" ref="D19:F19" si="1">D18</f>
        <v>11.5</v>
      </c>
      <c r="E19" s="3">
        <f t="shared" si="1"/>
        <v>25</v>
      </c>
      <c r="F19" s="3">
        <f t="shared" si="1"/>
        <v>5</v>
      </c>
      <c r="G19" s="30">
        <f>G18+H18*(B18-B19)</f>
        <v>1.8790000000000004</v>
      </c>
      <c r="H19" s="10"/>
    </row>
    <row r="20" spans="1:17" ht="15" x14ac:dyDescent="0.25">
      <c r="G20" s="31"/>
    </row>
    <row r="21" spans="1:17" ht="15" x14ac:dyDescent="0.25">
      <c r="A21" s="5" t="s">
        <v>27</v>
      </c>
    </row>
    <row r="22" spans="1:17" ht="15" x14ac:dyDescent="0.25">
      <c r="A22" s="5" t="s">
        <v>28</v>
      </c>
      <c r="B22" s="3">
        <f>'Su berekening'!B11</f>
        <v>-1</v>
      </c>
      <c r="C22" s="3" t="s">
        <v>1</v>
      </c>
    </row>
    <row r="23" spans="1:17" ht="15" x14ac:dyDescent="0.25">
      <c r="A23" s="5" t="s">
        <v>95</v>
      </c>
      <c r="B23" s="3">
        <f>IF(B$22&gt;Zsurface,NA(),D16*(MIN(Zsurface,MAX(Zphreatic,MAX(B$22,B17)))-MAX(B$22,B17))+C16*(Zsurface-MIN(Zsurface,MAX(Zphreatic,MAX(B$22,B17)))))</f>
        <v>9.1</v>
      </c>
      <c r="C23" s="3" t="s">
        <v>3</v>
      </c>
    </row>
    <row r="24" spans="1:17" ht="15" x14ac:dyDescent="0.25">
      <c r="A24" s="5" t="s">
        <v>96</v>
      </c>
      <c r="B24" s="3">
        <f>IF(B$22&gt;B17,0,D17*(MIN(B17,MAX(Zphreatic,MAX(B$22,B18)))-MAX(B$22,B18))+C17*(B17-MIN(B17,MAX(Zphreatic,MAX(B$22,B18)))))</f>
        <v>0</v>
      </c>
      <c r="C24" s="3" t="s">
        <v>3</v>
      </c>
    </row>
    <row r="25" spans="1:17" ht="15" x14ac:dyDescent="0.25">
      <c r="A25" s="5" t="s">
        <v>97</v>
      </c>
      <c r="B25" s="3">
        <f>IF(B$22&gt;B18,0,D18*(MIN(B18,MAX(Zphreatic,MAX(B$22,B19)))-MAX(B$22,B19))+C18*(B18-MIN(B18,MAX(Zphreatic,MAX(B$22,B19)))))</f>
        <v>0</v>
      </c>
      <c r="C25" s="3" t="s">
        <v>3</v>
      </c>
    </row>
    <row r="26" spans="1:17" ht="15" x14ac:dyDescent="0.25">
      <c r="A26" s="5" t="s">
        <v>98</v>
      </c>
      <c r="B26" s="3">
        <f>SUM(B23:B25)</f>
        <v>9.1</v>
      </c>
      <c r="C26" s="3" t="s">
        <v>3</v>
      </c>
    </row>
    <row r="27" spans="1:17" ht="15" x14ac:dyDescent="0.25">
      <c r="A27" s="5"/>
    </row>
    <row r="28" spans="1:17" ht="28.5" customHeight="1" x14ac:dyDescent="0.25">
      <c r="O28" s="3"/>
      <c r="P28" s="3"/>
      <c r="Q28" s="3"/>
    </row>
    <row r="29" spans="1:17" ht="21.75" customHeight="1" x14ac:dyDescent="0.3">
      <c r="A29" s="15" t="s">
        <v>103</v>
      </c>
      <c r="B29" s="15"/>
      <c r="C29" s="15"/>
      <c r="D29" s="15"/>
      <c r="E29" s="15"/>
      <c r="F29" s="15"/>
      <c r="G29" s="15"/>
      <c r="H29" s="15"/>
      <c r="I29" s="15"/>
      <c r="J29" s="15"/>
      <c r="K29" s="24"/>
      <c r="L29" s="24"/>
      <c r="M29" s="24"/>
      <c r="N29" s="24"/>
      <c r="O29" s="15"/>
      <c r="P29" s="3"/>
      <c r="Q29" s="3"/>
    </row>
    <row r="30" spans="1:17" ht="16.2" x14ac:dyDescent="0.3">
      <c r="A30" s="15" t="s">
        <v>104</v>
      </c>
      <c r="B30" s="15"/>
      <c r="C30" s="15"/>
      <c r="D30" s="15"/>
      <c r="E30" s="15"/>
      <c r="F30" s="15"/>
      <c r="G30" s="15"/>
      <c r="H30" s="15"/>
      <c r="I30" s="15"/>
      <c r="J30" s="15"/>
      <c r="K30" s="24"/>
      <c r="L30" s="24"/>
      <c r="M30" s="24"/>
      <c r="N30" s="24"/>
      <c r="O30" s="15"/>
    </row>
    <row r="35" spans="6:8" ht="15" x14ac:dyDescent="0.25">
      <c r="F35" s="20"/>
      <c r="G35" s="20"/>
      <c r="H35" s="20"/>
    </row>
  </sheetData>
  <mergeCells count="4">
    <mergeCell ref="G13:H13"/>
    <mergeCell ref="I13:J13"/>
    <mergeCell ref="A9:I9"/>
    <mergeCell ref="C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topLeftCell="A8" workbookViewId="0">
      <pane ySplit="3108" topLeftCell="A13" activePane="bottomLeft"/>
      <selection activeCell="M8" sqref="M1:N1048576"/>
      <selection pane="bottomLeft" activeCell="G41" sqref="G41"/>
    </sheetView>
  </sheetViews>
  <sheetFormatPr defaultColWidth="14" defaultRowHeight="14.4" x14ac:dyDescent="0.3"/>
  <cols>
    <col min="1" max="10" width="14" style="3"/>
    <col min="11" max="11" width="16.88671875" style="3" customWidth="1"/>
    <col min="12" max="14" width="15.44140625" style="3" customWidth="1"/>
    <col min="15" max="16" width="14" style="19"/>
    <col min="17" max="16384" width="14" style="3"/>
  </cols>
  <sheetData>
    <row r="1" spans="1:16" s="16" customFormat="1" ht="21" x14ac:dyDescent="0.25">
      <c r="A1" s="2" t="s">
        <v>11</v>
      </c>
      <c r="O1" s="19"/>
      <c r="P1" s="19"/>
    </row>
    <row r="2" spans="1:16" s="16" customFormat="1" ht="15" x14ac:dyDescent="0.25">
      <c r="O2" s="19"/>
      <c r="P2" s="19"/>
    </row>
    <row r="3" spans="1:16" ht="15.75" thickBot="1" x14ac:dyDescent="0.3"/>
    <row r="4" spans="1:16" s="16" customFormat="1" ht="15.75" thickBot="1" x14ac:dyDescent="0.3">
      <c r="A4" s="18" t="s">
        <v>105</v>
      </c>
      <c r="C4" s="36">
        <v>0.1</v>
      </c>
      <c r="D4" s="16" t="s">
        <v>106</v>
      </c>
      <c r="O4" s="19"/>
      <c r="P4" s="19"/>
    </row>
    <row r="5" spans="1:16" ht="15" x14ac:dyDescent="0.25">
      <c r="L5" s="34" t="s">
        <v>118</v>
      </c>
      <c r="M5" s="34" t="s">
        <v>119</v>
      </c>
      <c r="N5" s="34" t="s">
        <v>120</v>
      </c>
    </row>
    <row r="6" spans="1:16" s="1" customFormat="1" ht="105" x14ac:dyDescent="0.25">
      <c r="A6" s="33" t="s">
        <v>26</v>
      </c>
      <c r="B6" s="33" t="s">
        <v>0</v>
      </c>
      <c r="C6" s="33" t="s">
        <v>100</v>
      </c>
      <c r="D6" s="33" t="s">
        <v>29</v>
      </c>
      <c r="E6" s="33" t="s">
        <v>109</v>
      </c>
      <c r="F6" s="33" t="s">
        <v>110</v>
      </c>
      <c r="G6" s="33" t="s">
        <v>13</v>
      </c>
      <c r="H6" s="33" t="s">
        <v>14</v>
      </c>
      <c r="I6" s="33" t="s">
        <v>16</v>
      </c>
      <c r="J6" s="33" t="s">
        <v>8</v>
      </c>
      <c r="K6" s="33" t="s">
        <v>21</v>
      </c>
      <c r="L6" s="48" t="s">
        <v>24</v>
      </c>
      <c r="M6" s="48"/>
      <c r="N6" s="48"/>
      <c r="O6" s="20" t="s">
        <v>115</v>
      </c>
      <c r="P6" s="20"/>
    </row>
    <row r="7" spans="1:16" s="1" customFormat="1" ht="18" x14ac:dyDescent="0.25">
      <c r="A7" s="33"/>
      <c r="B7" s="33" t="s">
        <v>7</v>
      </c>
      <c r="C7" s="33" t="s">
        <v>5</v>
      </c>
      <c r="D7" s="33" t="s">
        <v>9</v>
      </c>
      <c r="E7" s="33"/>
      <c r="F7" s="33"/>
      <c r="G7" s="34"/>
      <c r="H7" s="34" t="s">
        <v>18</v>
      </c>
      <c r="I7" s="34" t="s">
        <v>17</v>
      </c>
      <c r="J7" s="33" t="s">
        <v>6</v>
      </c>
      <c r="K7" s="33" t="s">
        <v>22</v>
      </c>
      <c r="L7" s="33" t="s">
        <v>4</v>
      </c>
      <c r="M7" s="33" t="s">
        <v>4</v>
      </c>
      <c r="N7" s="33" t="s">
        <v>4</v>
      </c>
      <c r="O7" s="20"/>
      <c r="P7" s="20"/>
    </row>
    <row r="8" spans="1:16" ht="17.25" x14ac:dyDescent="0.25">
      <c r="A8" s="34" t="s">
        <v>23</v>
      </c>
      <c r="B8" s="34" t="s">
        <v>1</v>
      </c>
      <c r="C8" s="34" t="s">
        <v>2</v>
      </c>
      <c r="D8" s="34" t="s">
        <v>122</v>
      </c>
      <c r="E8" s="34" t="s">
        <v>23</v>
      </c>
      <c r="F8" s="34" t="s">
        <v>23</v>
      </c>
      <c r="G8" s="34" t="s">
        <v>1</v>
      </c>
      <c r="H8" s="34" t="s">
        <v>15</v>
      </c>
      <c r="I8" s="34" t="s">
        <v>15</v>
      </c>
      <c r="J8" s="34" t="s">
        <v>2</v>
      </c>
      <c r="K8" s="34" t="s">
        <v>3</v>
      </c>
      <c r="L8" s="34" t="s">
        <v>3</v>
      </c>
      <c r="M8" s="34" t="s">
        <v>3</v>
      </c>
      <c r="N8" s="34" t="s">
        <v>121</v>
      </c>
      <c r="O8" s="19" t="s">
        <v>23</v>
      </c>
      <c r="P8" s="20"/>
    </row>
    <row r="9" spans="1:16" ht="15" x14ac:dyDescent="0.25">
      <c r="P9" s="20"/>
    </row>
    <row r="10" spans="1:16" ht="15.75" thickBot="1" x14ac:dyDescent="0.3">
      <c r="B10" s="3">
        <f>MAX(B11,Ztop1)</f>
        <v>-0.3</v>
      </c>
      <c r="F10" s="6">
        <v>1</v>
      </c>
      <c r="G10" s="6">
        <f>IF(B11="",G9,VLOOKUP($F10,'Soil profile'!$A$16:$C$18,2,))</f>
        <v>-0.3</v>
      </c>
      <c r="L10" s="10">
        <f>VLOOKUP(F10,'Soil profile'!$A$16:$H$19,COLUMNS('Soil profile'!$A$16:$G$16),)+VLOOKUP(F10,'Soil profile'!$A$16:$H$19,COLUMNS('Soil profile'!$A$16:$H$16),)*(G10-B10)</f>
        <v>2.04</v>
      </c>
      <c r="M10" s="10"/>
      <c r="N10" s="10"/>
      <c r="P10" s="20"/>
    </row>
    <row r="11" spans="1:16" ht="15.75" thickBot="1" x14ac:dyDescent="0.3">
      <c r="A11" s="3">
        <v>1</v>
      </c>
      <c r="B11" s="4">
        <v>-1</v>
      </c>
      <c r="C11" s="25">
        <f t="shared" ref="C11:C42" si="0">ROUND(J11-D11*(1-a),7)</f>
        <v>8.2755999999999996E-2</v>
      </c>
      <c r="D11" s="14">
        <f t="shared" ref="D11:D42" si="1">IF(B11&gt;=Zphreatic,0,ROUND(9.81*(Zphreatic-B11)/1000,4))</f>
        <v>0</v>
      </c>
      <c r="E11" s="6">
        <f>VLOOKUP($B11,'Soil profile'!$M$15:$N$18,2,TRUE)-1</f>
        <v>1</v>
      </c>
      <c r="F11" s="6">
        <f>VLOOKUP($B11,'Soil profile'!$M$15:$N$18,2,TRUE)-1</f>
        <v>1</v>
      </c>
      <c r="G11" s="6">
        <f>IF(B12="",G10,VLOOKUP($F11,'Soil profile'!$A$16:$C$18,2,))</f>
        <v>-0.3</v>
      </c>
      <c r="H11" s="6">
        <f>VLOOKUP(F11,'Soil profile'!$A$16:$D$18,4,)</f>
        <v>13.7</v>
      </c>
      <c r="I11" s="6">
        <f>VLOOKUP(F11,'Soil profile'!$A$16:$D$18,3,)</f>
        <v>13</v>
      </c>
      <c r="J11" s="3">
        <f>K11/1000+L11/1000*VLOOKUP($E11,'Soil profile'!$A$16:$F$19,COLUMNS('Soil profile'!$A$16:$E$16),)/VLOOKUP($E11,'Soil profile'!$A$16:$F$19,COLUMNS('Soil profile'!$A$16:$F$16),)</f>
        <v>8.2755999999999996E-2</v>
      </c>
      <c r="K11" s="3">
        <f>IF(B11&gt;Ztop1,NA(),IF(A11=1,'Soil profile'!$B$26,K8+I11*(B8-MIN(B8,MAX(Zphreatic,B11)))+H11*(MIN(B8,MAX(Zphreatic,B11))-B11)))</f>
        <v>9.1</v>
      </c>
      <c r="L11" s="10">
        <f>VLOOKUP(F11,'Soil profile'!$A$16:$H$19,COLUMNS('Soil profile'!$A$16:$G$16),)+VLOOKUP(F11,'Soil profile'!$A$16:$H$19,COLUMNS('Soil profile'!$A$16:$H$16),)*(G11-B11)</f>
        <v>3.069</v>
      </c>
      <c r="M11" s="10">
        <f>VLOOKUP($E11,'Soil profile'!$A$16:$F$19,COLUMNS('Soil profile'!$A$16:$F$16),)*(C11*1000+D11*1000*(1-a)-K11)/VLOOKUP($E11,'Soil profile'!$A$16:$F$19,COLUMNS('Soil profile'!$A$16:$E$16),)</f>
        <v>3.0690000000000004</v>
      </c>
      <c r="N11" s="35">
        <f>ABS(L11/M11-1)*100</f>
        <v>1.1102230246251565E-14</v>
      </c>
      <c r="O11" s="20">
        <f>ROW(A11)</f>
        <v>11</v>
      </c>
      <c r="P11" s="20">
        <f>VLOOKUP(2,$E$11:$O$80,COLUMNS($E11:$O11),)</f>
        <v>42</v>
      </c>
    </row>
    <row r="12" spans="1:16" ht="15.75" thickBot="1" x14ac:dyDescent="0.3">
      <c r="A12" s="3">
        <f>A11+1</f>
        <v>2</v>
      </c>
      <c r="B12" s="4">
        <f>ROUND(B11-Interval,2)</f>
        <v>-1.1000000000000001</v>
      </c>
      <c r="C12" s="25">
        <f t="shared" si="0"/>
        <v>8.7583999999999995E-2</v>
      </c>
      <c r="D12" s="14">
        <f t="shared" si="1"/>
        <v>0</v>
      </c>
      <c r="E12" s="6">
        <f>VLOOKUP($B12,'Soil profile'!$M$15:$N$18,2,TRUE)-1</f>
        <v>1</v>
      </c>
      <c r="F12" s="6">
        <f>VLOOKUP($B12,'Soil profile'!$M$15:$N$18,2,TRUE)-1</f>
        <v>1</v>
      </c>
      <c r="G12" s="6">
        <f>IF(B13="",G11,VLOOKUP($F12,'Soil profile'!$A$16:$C$18,2,))</f>
        <v>-0.3</v>
      </c>
      <c r="H12" s="6">
        <f>VLOOKUP(F12,'Soil profile'!$A$16:$D$18,4,)</f>
        <v>13.7</v>
      </c>
      <c r="I12" s="6">
        <f>VLOOKUP(F12,'Soil profile'!$A$16:$D$18,3,)</f>
        <v>13</v>
      </c>
      <c r="J12" s="3">
        <f>K12/1000+L12/1000*VLOOKUP($E12,'Soil profile'!$A$16:$F$19,COLUMNS('Soil profile'!$A$16:$E$16),)/VLOOKUP($E12,'Soil profile'!$A$16:$F$19,COLUMNS('Soil profile'!$A$16:$F$16),)</f>
        <v>8.7583999999999995E-2</v>
      </c>
      <c r="K12" s="3">
        <f>IF(B12&gt;Ztop1,NA(),IF(A12=1,'Soil profile'!$B$26,K11+I12*(B11-MIN(B11,MAX(Zphreatic,B12)))+H12*(MIN(B11,MAX(Zphreatic,B12))-B12)))</f>
        <v>10.4</v>
      </c>
      <c r="L12" s="10">
        <f>VLOOKUP(F12,'Soil profile'!$A$16:$H$19,COLUMNS('Soil profile'!$A$16:$G$16),)+VLOOKUP(F12,'Soil profile'!$A$16:$H$19,COLUMNS('Soil profile'!$A$16:$H$16),)*(G12-B12)</f>
        <v>3.2160000000000002</v>
      </c>
      <c r="M12" s="10">
        <f>VLOOKUP($E12,'Soil profile'!$A$16:$F$19,COLUMNS('Soil profile'!$A$16:$F$16),)*(C12*1000+D12*1000*(1-a)-K12)/VLOOKUP($E12,'Soil profile'!$A$16:$F$19,COLUMNS('Soil profile'!$A$16:$E$16),)</f>
        <v>3.2159999999999993</v>
      </c>
      <c r="N12" s="35">
        <f t="shared" ref="N12:N75" si="2">ABS(L12/M12-1)*100</f>
        <v>2.2204460492503131E-14</v>
      </c>
      <c r="O12" s="20">
        <f t="shared" ref="O12:O75" si="3">ROW(A12)</f>
        <v>12</v>
      </c>
      <c r="P12" s="20">
        <f t="shared" ref="P12:P75" si="4">VLOOKUP(2,$E$11:$O$80,COLUMNS($E12:$O12),)</f>
        <v>42</v>
      </c>
    </row>
    <row r="13" spans="1:16" ht="15.75" thickBot="1" x14ac:dyDescent="0.3">
      <c r="A13" s="3">
        <f t="shared" ref="A13:A81" si="5">A12+1</f>
        <v>3</v>
      </c>
      <c r="B13" s="4">
        <f t="shared" ref="B13:B76" si="6">ROUND(B12-Interval,2)</f>
        <v>-1.2</v>
      </c>
      <c r="C13" s="25">
        <f t="shared" si="0"/>
        <v>9.2411999999999994E-2</v>
      </c>
      <c r="D13" s="14">
        <f t="shared" si="1"/>
        <v>0</v>
      </c>
      <c r="E13" s="6">
        <f>VLOOKUP($B13,'Soil profile'!$M$15:$N$18,2,TRUE)-1</f>
        <v>1</v>
      </c>
      <c r="F13" s="6">
        <f>VLOOKUP($B13,'Soil profile'!$M$15:$N$18,2,TRUE)-1</f>
        <v>1</v>
      </c>
      <c r="G13" s="6">
        <f>IF(B14="",G12,VLOOKUP($F13,'Soil profile'!$A$16:$C$18,2,))</f>
        <v>-0.3</v>
      </c>
      <c r="H13" s="6">
        <f>VLOOKUP(F13,'Soil profile'!$A$16:$D$18,4,)</f>
        <v>13.7</v>
      </c>
      <c r="I13" s="6">
        <f>VLOOKUP(F13,'Soil profile'!$A$16:$D$18,3,)</f>
        <v>13</v>
      </c>
      <c r="J13" s="3">
        <f>K13/1000+L13/1000*VLOOKUP($E13,'Soil profile'!$A$16:$F$19,COLUMNS('Soil profile'!$A$16:$E$16),)/VLOOKUP($E13,'Soil profile'!$A$16:$F$19,COLUMNS('Soil profile'!$A$16:$F$16),)</f>
        <v>9.2412000000000008E-2</v>
      </c>
      <c r="K13" s="3">
        <f>IF(B13&gt;Ztop1,NA(),IF(A13=1,'Soil profile'!$B$26,K12+I13*(B12-MIN(B12,MAX(Zphreatic,B13)))+H13*(MIN(B12,MAX(Zphreatic,B13))-B13)))</f>
        <v>11.7</v>
      </c>
      <c r="L13" s="10">
        <f>VLOOKUP(F13,'Soil profile'!$A$16:$H$19,COLUMNS('Soil profile'!$A$16:$G$16),)+VLOOKUP(F13,'Soil profile'!$A$16:$H$19,COLUMNS('Soil profile'!$A$16:$H$16),)*(G13-B13)</f>
        <v>3.363</v>
      </c>
      <c r="M13" s="10">
        <f>VLOOKUP($E13,'Soil profile'!$A$16:$F$19,COLUMNS('Soil profile'!$A$16:$F$16),)*(C13*1000+D13*1000*(1-a)-K13)/VLOOKUP($E13,'Soil profile'!$A$16:$F$19,COLUMNS('Soil profile'!$A$16:$E$16),)</f>
        <v>3.3629999999999995</v>
      </c>
      <c r="N13" s="35">
        <f t="shared" si="2"/>
        <v>2.2204460492503131E-14</v>
      </c>
      <c r="O13" s="20">
        <f t="shared" si="3"/>
        <v>13</v>
      </c>
      <c r="P13" s="20">
        <f t="shared" si="4"/>
        <v>42</v>
      </c>
    </row>
    <row r="14" spans="1:16" ht="15.75" thickBot="1" x14ac:dyDescent="0.3">
      <c r="A14" s="3">
        <f t="shared" si="5"/>
        <v>4</v>
      </c>
      <c r="B14" s="4">
        <f t="shared" si="6"/>
        <v>-1.3</v>
      </c>
      <c r="C14" s="25">
        <f t="shared" si="0"/>
        <v>9.7239999999999993E-2</v>
      </c>
      <c r="D14" s="14">
        <f t="shared" si="1"/>
        <v>0</v>
      </c>
      <c r="E14" s="6">
        <f>VLOOKUP($B14,'Soil profile'!$M$15:$N$18,2,TRUE)-1</f>
        <v>1</v>
      </c>
      <c r="F14" s="6">
        <f>VLOOKUP($B14,'Soil profile'!$M$15:$N$18,2,TRUE)-1</f>
        <v>1</v>
      </c>
      <c r="G14" s="6">
        <f>IF(B15="",G13,VLOOKUP($F14,'Soil profile'!$A$16:$C$18,2,))</f>
        <v>-0.3</v>
      </c>
      <c r="H14" s="6">
        <f>VLOOKUP(F14,'Soil profile'!$A$16:$D$18,4,)</f>
        <v>13.7</v>
      </c>
      <c r="I14" s="6">
        <f>VLOOKUP(F14,'Soil profile'!$A$16:$D$18,3,)</f>
        <v>13</v>
      </c>
      <c r="J14" s="3">
        <f>K14/1000+L14/1000*VLOOKUP($E14,'Soil profile'!$A$16:$F$19,COLUMNS('Soil profile'!$A$16:$E$16),)/VLOOKUP($E14,'Soil profile'!$A$16:$F$19,COLUMNS('Soil profile'!$A$16:$F$16),)</f>
        <v>9.7239999999999993E-2</v>
      </c>
      <c r="K14" s="3">
        <f>IF(B14&gt;Ztop1,NA(),IF(A14=1,'Soil profile'!$B$26,K13+I14*(B13-MIN(B13,MAX(Zphreatic,B14)))+H14*(MIN(B13,MAX(Zphreatic,B14))-B14)))</f>
        <v>13</v>
      </c>
      <c r="L14" s="10">
        <f>VLOOKUP(F14,'Soil profile'!$A$16:$H$19,COLUMNS('Soil profile'!$A$16:$G$16),)+VLOOKUP(F14,'Soil profile'!$A$16:$H$19,COLUMNS('Soil profile'!$A$16:$H$16),)*(G14-B14)</f>
        <v>3.51</v>
      </c>
      <c r="M14" s="10">
        <f>VLOOKUP($E14,'Soil profile'!$A$16:$F$19,COLUMNS('Soil profile'!$A$16:$F$16),)*(C14*1000+D14*1000*(1-a)-K14)/VLOOKUP($E14,'Soil profile'!$A$16:$F$19,COLUMNS('Soil profile'!$A$16:$E$16),)</f>
        <v>3.51</v>
      </c>
      <c r="N14" s="35">
        <f t="shared" si="2"/>
        <v>0</v>
      </c>
      <c r="O14" s="20">
        <f t="shared" si="3"/>
        <v>14</v>
      </c>
      <c r="P14" s="20">
        <f t="shared" si="4"/>
        <v>42</v>
      </c>
    </row>
    <row r="15" spans="1:16" ht="15.75" thickBot="1" x14ac:dyDescent="0.3">
      <c r="A15" s="3">
        <f t="shared" si="5"/>
        <v>5</v>
      </c>
      <c r="B15" s="4">
        <f t="shared" si="6"/>
        <v>-1.4</v>
      </c>
      <c r="C15" s="25">
        <f t="shared" si="0"/>
        <v>0.10206800000000001</v>
      </c>
      <c r="D15" s="14">
        <f t="shared" si="1"/>
        <v>0</v>
      </c>
      <c r="E15" s="6">
        <f>VLOOKUP($B15,'Soil profile'!$M$15:$N$18,2,TRUE)-1</f>
        <v>1</v>
      </c>
      <c r="F15" s="6">
        <f>VLOOKUP($B15,'Soil profile'!$M$15:$N$18,2,TRUE)-1</f>
        <v>1</v>
      </c>
      <c r="G15" s="6">
        <f>IF(B16="",G14,VLOOKUP($F15,'Soil profile'!$A$16:$C$18,2,))</f>
        <v>-0.3</v>
      </c>
      <c r="H15" s="6">
        <f>VLOOKUP(F15,'Soil profile'!$A$16:$D$18,4,)</f>
        <v>13.7</v>
      </c>
      <c r="I15" s="6">
        <f>VLOOKUP(F15,'Soil profile'!$A$16:$D$18,3,)</f>
        <v>13</v>
      </c>
      <c r="J15" s="3">
        <f>K15/1000+L15/1000*VLOOKUP($E15,'Soil profile'!$A$16:$F$19,COLUMNS('Soil profile'!$A$16:$E$16),)/VLOOKUP($E15,'Soil profile'!$A$16:$F$19,COLUMNS('Soil profile'!$A$16:$F$16),)</f>
        <v>0.10206799999999999</v>
      </c>
      <c r="K15" s="3">
        <f>IF(B15&gt;Ztop1,NA(),IF(A15=1,'Soil profile'!$B$26,K14+I15*(B14-MIN(B14,MAX(Zphreatic,B15)))+H15*(MIN(B14,MAX(Zphreatic,B15))-B15)))</f>
        <v>14.299999999999999</v>
      </c>
      <c r="L15" s="10">
        <f>VLOOKUP(F15,'Soil profile'!$A$16:$H$19,COLUMNS('Soil profile'!$A$16:$G$16),)+VLOOKUP(F15,'Soil profile'!$A$16:$H$19,COLUMNS('Soil profile'!$A$16:$H$16),)*(G15-B15)</f>
        <v>3.657</v>
      </c>
      <c r="M15" s="10">
        <f>VLOOKUP($E15,'Soil profile'!$A$16:$F$19,COLUMNS('Soil profile'!$A$16:$F$16),)*(C15*1000+D15*1000*(1-a)-K15)/VLOOKUP($E15,'Soil profile'!$A$16:$F$19,COLUMNS('Soil profile'!$A$16:$E$16),)</f>
        <v>3.6570000000000005</v>
      </c>
      <c r="N15" s="35">
        <f t="shared" si="2"/>
        <v>1.1102230246251565E-14</v>
      </c>
      <c r="O15" s="20">
        <f t="shared" si="3"/>
        <v>15</v>
      </c>
      <c r="P15" s="20">
        <f t="shared" si="4"/>
        <v>42</v>
      </c>
    </row>
    <row r="16" spans="1:16" ht="15.75" thickBot="1" x14ac:dyDescent="0.3">
      <c r="A16" s="3">
        <f t="shared" si="5"/>
        <v>6</v>
      </c>
      <c r="B16" s="4">
        <f t="shared" si="6"/>
        <v>-1.5</v>
      </c>
      <c r="C16" s="25">
        <f t="shared" si="0"/>
        <v>0.106896</v>
      </c>
      <c r="D16" s="14">
        <f t="shared" si="1"/>
        <v>0</v>
      </c>
      <c r="E16" s="6">
        <f>VLOOKUP($B16,'Soil profile'!$M$15:$N$18,2,TRUE)-1</f>
        <v>1</v>
      </c>
      <c r="F16" s="6">
        <f>VLOOKUP($B16,'Soil profile'!$M$15:$N$18,2,TRUE)-1</f>
        <v>1</v>
      </c>
      <c r="G16" s="6">
        <f>IF(B17="",G15,VLOOKUP($F16,'Soil profile'!$A$16:$C$18,2,))</f>
        <v>-0.3</v>
      </c>
      <c r="H16" s="6">
        <f>VLOOKUP(F16,'Soil profile'!$A$16:$D$18,4,)</f>
        <v>13.7</v>
      </c>
      <c r="I16" s="6">
        <f>VLOOKUP(F16,'Soil profile'!$A$16:$D$18,3,)</f>
        <v>13</v>
      </c>
      <c r="J16" s="3">
        <f>K16/1000+L16/1000*VLOOKUP($E16,'Soil profile'!$A$16:$F$19,COLUMNS('Soil profile'!$A$16:$E$16),)/VLOOKUP($E16,'Soil profile'!$A$16:$F$19,COLUMNS('Soil profile'!$A$16:$F$16),)</f>
        <v>0.106896</v>
      </c>
      <c r="K16" s="3">
        <f>IF(B16&gt;Ztop1,NA(),IF(A16=1,'Soil profile'!$B$26,K15+I16*(B15-MIN(B15,MAX(Zphreatic,B16)))+H16*(MIN(B15,MAX(Zphreatic,B16))-B16)))</f>
        <v>15.6</v>
      </c>
      <c r="L16" s="10">
        <f>VLOOKUP(F16,'Soil profile'!$A$16:$H$19,COLUMNS('Soil profile'!$A$16:$G$16),)+VLOOKUP(F16,'Soil profile'!$A$16:$H$19,COLUMNS('Soil profile'!$A$16:$H$16),)*(G16-B16)</f>
        <v>3.8040000000000003</v>
      </c>
      <c r="M16" s="10">
        <f>VLOOKUP($E16,'Soil profile'!$A$16:$F$19,COLUMNS('Soil profile'!$A$16:$F$16),)*(C16*1000+D16*1000*(1-a)-K16)/VLOOKUP($E16,'Soil profile'!$A$16:$F$19,COLUMNS('Soil profile'!$A$16:$E$16),)</f>
        <v>3.8040000000000003</v>
      </c>
      <c r="N16" s="35">
        <f t="shared" si="2"/>
        <v>0</v>
      </c>
      <c r="O16" s="20">
        <f t="shared" si="3"/>
        <v>16</v>
      </c>
      <c r="P16" s="20">
        <f t="shared" si="4"/>
        <v>42</v>
      </c>
    </row>
    <row r="17" spans="1:16" ht="15.75" thickBot="1" x14ac:dyDescent="0.3">
      <c r="A17" s="3">
        <f t="shared" si="5"/>
        <v>7</v>
      </c>
      <c r="B17" s="4">
        <f t="shared" si="6"/>
        <v>-1.6</v>
      </c>
      <c r="C17" s="25">
        <f t="shared" si="0"/>
        <v>0.111724</v>
      </c>
      <c r="D17" s="14">
        <f t="shared" si="1"/>
        <v>0</v>
      </c>
      <c r="E17" s="6">
        <f>VLOOKUP($B17,'Soil profile'!$M$15:$N$18,2,TRUE)-1</f>
        <v>1</v>
      </c>
      <c r="F17" s="6">
        <f>VLOOKUP($B17,'Soil profile'!$M$15:$N$18,2,TRUE)-1</f>
        <v>1</v>
      </c>
      <c r="G17" s="6">
        <f>IF(B18="",G16,VLOOKUP($F17,'Soil profile'!$A$16:$C$18,2,))</f>
        <v>-0.3</v>
      </c>
      <c r="H17" s="6">
        <f>VLOOKUP(F17,'Soil profile'!$A$16:$D$18,4,)</f>
        <v>13.7</v>
      </c>
      <c r="I17" s="6">
        <f>VLOOKUP(F17,'Soil profile'!$A$16:$D$18,3,)</f>
        <v>13</v>
      </c>
      <c r="J17" s="3">
        <f>K17/1000+L17/1000*VLOOKUP($E17,'Soil profile'!$A$16:$F$19,COLUMNS('Soil profile'!$A$16:$E$16),)/VLOOKUP($E17,'Soil profile'!$A$16:$F$19,COLUMNS('Soil profile'!$A$16:$F$16),)</f>
        <v>0.11172399999999999</v>
      </c>
      <c r="K17" s="3">
        <f>IF(B17&gt;Ztop1,NA(),IF(A17=1,'Soil profile'!$B$26,K16+I17*(B16-MIN(B16,MAX(Zphreatic,B17)))+H17*(MIN(B16,MAX(Zphreatic,B17))-B17)))</f>
        <v>16.900000000000002</v>
      </c>
      <c r="L17" s="10">
        <f>VLOOKUP(F17,'Soil profile'!$A$16:$H$19,COLUMNS('Soil profile'!$A$16:$G$16),)+VLOOKUP(F17,'Soil profile'!$A$16:$H$19,COLUMNS('Soil profile'!$A$16:$H$16),)*(G17-B17)</f>
        <v>3.9510000000000001</v>
      </c>
      <c r="M17" s="10">
        <f>VLOOKUP($E17,'Soil profile'!$A$16:$F$19,COLUMNS('Soil profile'!$A$16:$F$16),)*(C17*1000+D17*1000*(1-a)-K17)/VLOOKUP($E17,'Soil profile'!$A$16:$F$19,COLUMNS('Soil profile'!$A$16:$E$16),)</f>
        <v>3.9510000000000001</v>
      </c>
      <c r="N17" s="35">
        <f t="shared" si="2"/>
        <v>0</v>
      </c>
      <c r="O17" s="20">
        <f t="shared" si="3"/>
        <v>17</v>
      </c>
      <c r="P17" s="20">
        <f t="shared" si="4"/>
        <v>42</v>
      </c>
    </row>
    <row r="18" spans="1:16" ht="15.75" thickBot="1" x14ac:dyDescent="0.3">
      <c r="A18" s="3">
        <f t="shared" si="5"/>
        <v>8</v>
      </c>
      <c r="B18" s="4">
        <f t="shared" si="6"/>
        <v>-1.7</v>
      </c>
      <c r="C18" s="25">
        <f t="shared" si="0"/>
        <v>0.116552</v>
      </c>
      <c r="D18" s="14">
        <f t="shared" si="1"/>
        <v>0</v>
      </c>
      <c r="E18" s="6">
        <f>VLOOKUP($B18,'Soil profile'!$M$15:$N$18,2,TRUE)-1</f>
        <v>1</v>
      </c>
      <c r="F18" s="6">
        <f>VLOOKUP($B18,'Soil profile'!$M$15:$N$18,2,TRUE)-1</f>
        <v>1</v>
      </c>
      <c r="G18" s="6">
        <f>IF(B19="",G17,VLOOKUP($F18,'Soil profile'!$A$16:$C$18,2,))</f>
        <v>-0.3</v>
      </c>
      <c r="H18" s="6">
        <f>VLOOKUP(F18,'Soil profile'!$A$16:$D$18,4,)</f>
        <v>13.7</v>
      </c>
      <c r="I18" s="6">
        <f>VLOOKUP(F18,'Soil profile'!$A$16:$D$18,3,)</f>
        <v>13</v>
      </c>
      <c r="J18" s="3">
        <f>K18/1000+L18/1000*VLOOKUP($E18,'Soil profile'!$A$16:$F$19,COLUMNS('Soil profile'!$A$16:$E$16),)/VLOOKUP($E18,'Soil profile'!$A$16:$F$19,COLUMNS('Soil profile'!$A$16:$F$16),)</f>
        <v>0.11655199999999999</v>
      </c>
      <c r="K18" s="3">
        <f>IF(B18&gt;Ztop1,NA(),IF(A18=1,'Soil profile'!$B$26,K17+I18*(B17-MIN(B17,MAX(Zphreatic,B18)))+H18*(MIN(B17,MAX(Zphreatic,B18))-B18)))</f>
        <v>18.2</v>
      </c>
      <c r="L18" s="10">
        <f>VLOOKUP(F18,'Soil profile'!$A$16:$H$19,COLUMNS('Soil profile'!$A$16:$G$16),)+VLOOKUP(F18,'Soil profile'!$A$16:$H$19,COLUMNS('Soil profile'!$A$16:$H$16),)*(G18-B18)</f>
        <v>4.0979999999999999</v>
      </c>
      <c r="M18" s="10">
        <f>VLOOKUP($E18,'Soil profile'!$A$16:$F$19,COLUMNS('Soil profile'!$A$16:$F$16),)*(C18*1000+D18*1000*(1-a)-K18)/VLOOKUP($E18,'Soil profile'!$A$16:$F$19,COLUMNS('Soil profile'!$A$16:$E$16),)</f>
        <v>4.0979999999999999</v>
      </c>
      <c r="N18" s="35">
        <f t="shared" si="2"/>
        <v>0</v>
      </c>
      <c r="O18" s="20">
        <f t="shared" si="3"/>
        <v>18</v>
      </c>
      <c r="P18" s="20">
        <f t="shared" si="4"/>
        <v>42</v>
      </c>
    </row>
    <row r="19" spans="1:16" ht="15.75" thickBot="1" x14ac:dyDescent="0.3">
      <c r="A19" s="3">
        <f t="shared" si="5"/>
        <v>9</v>
      </c>
      <c r="B19" s="4">
        <f t="shared" si="6"/>
        <v>-1.8</v>
      </c>
      <c r="C19" s="25">
        <f t="shared" si="0"/>
        <v>0.12138</v>
      </c>
      <c r="D19" s="14">
        <f t="shared" si="1"/>
        <v>0</v>
      </c>
      <c r="E19" s="6">
        <f>VLOOKUP($B19,'Soil profile'!$M$15:$N$18,2,TRUE)-1</f>
        <v>1</v>
      </c>
      <c r="F19" s="6">
        <f>VLOOKUP($B19,'Soil profile'!$M$15:$N$18,2,TRUE)-1</f>
        <v>1</v>
      </c>
      <c r="G19" s="6">
        <f>IF(B20="",G18,VLOOKUP($F19,'Soil profile'!$A$16:$C$18,2,))</f>
        <v>-0.3</v>
      </c>
      <c r="H19" s="6">
        <f>VLOOKUP(F19,'Soil profile'!$A$16:$D$18,4,)</f>
        <v>13.7</v>
      </c>
      <c r="I19" s="6">
        <f>VLOOKUP(F19,'Soil profile'!$A$16:$D$18,3,)</f>
        <v>13</v>
      </c>
      <c r="J19" s="3">
        <f>K19/1000+L19/1000*VLOOKUP($E19,'Soil profile'!$A$16:$F$19,COLUMNS('Soil profile'!$A$16:$E$16),)/VLOOKUP($E19,'Soil profile'!$A$16:$F$19,COLUMNS('Soil profile'!$A$16:$F$16),)</f>
        <v>0.12138000000000002</v>
      </c>
      <c r="K19" s="3">
        <f>IF(B19&gt;Ztop1,NA(),IF(A19=1,'Soil profile'!$B$26,K18+I19*(B18-MIN(B18,MAX(Zphreatic,B19)))+H19*(MIN(B18,MAX(Zphreatic,B19))-B19)))</f>
        <v>19.5</v>
      </c>
      <c r="L19" s="10">
        <f>VLOOKUP(F19,'Soil profile'!$A$16:$H$19,COLUMNS('Soil profile'!$A$16:$G$16),)+VLOOKUP(F19,'Soil profile'!$A$16:$H$19,COLUMNS('Soil profile'!$A$16:$H$16),)*(G19-B19)</f>
        <v>4.2450000000000001</v>
      </c>
      <c r="M19" s="10">
        <f>VLOOKUP($E19,'Soil profile'!$A$16:$F$19,COLUMNS('Soil profile'!$A$16:$F$16),)*(C19*1000+D19*1000*(1-a)-K19)/VLOOKUP($E19,'Soil profile'!$A$16:$F$19,COLUMNS('Soil profile'!$A$16:$E$16),)</f>
        <v>4.2450000000000001</v>
      </c>
      <c r="N19" s="35">
        <f t="shared" si="2"/>
        <v>0</v>
      </c>
      <c r="O19" s="20">
        <f t="shared" si="3"/>
        <v>19</v>
      </c>
      <c r="P19" s="20">
        <f t="shared" si="4"/>
        <v>42</v>
      </c>
    </row>
    <row r="20" spans="1:16" ht="15.75" thickBot="1" x14ac:dyDescent="0.3">
      <c r="A20" s="3">
        <f t="shared" si="5"/>
        <v>10</v>
      </c>
      <c r="B20" s="4">
        <f t="shared" si="6"/>
        <v>-1.9</v>
      </c>
      <c r="C20" s="25">
        <f t="shared" si="0"/>
        <v>0.12620799999999999</v>
      </c>
      <c r="D20" s="14">
        <f t="shared" si="1"/>
        <v>0</v>
      </c>
      <c r="E20" s="6">
        <f>VLOOKUP($B20,'Soil profile'!$M$15:$N$18,2,TRUE)-1</f>
        <v>1</v>
      </c>
      <c r="F20" s="6">
        <f>VLOOKUP($B20,'Soil profile'!$M$15:$N$18,2,TRUE)-1</f>
        <v>1</v>
      </c>
      <c r="G20" s="6">
        <f>IF(B21="",G19,VLOOKUP($F20,'Soil profile'!$A$16:$C$18,2,))</f>
        <v>-0.3</v>
      </c>
      <c r="H20" s="6">
        <f>VLOOKUP(F20,'Soil profile'!$A$16:$D$18,4,)</f>
        <v>13.7</v>
      </c>
      <c r="I20" s="6">
        <f>VLOOKUP(F20,'Soil profile'!$A$16:$D$18,3,)</f>
        <v>13</v>
      </c>
      <c r="J20" s="3">
        <f>K20/1000+L20/1000*VLOOKUP($E20,'Soil profile'!$A$16:$F$19,COLUMNS('Soil profile'!$A$16:$E$16),)/VLOOKUP($E20,'Soil profile'!$A$16:$F$19,COLUMNS('Soil profile'!$A$16:$F$16),)</f>
        <v>0.12620799999999996</v>
      </c>
      <c r="K20" s="3">
        <f>IF(B20&gt;Ztop1,NA(),IF(A20=1,'Soil profile'!$B$26,K19+I20*(B19-MIN(B19,MAX(Zphreatic,B20)))+H20*(MIN(B19,MAX(Zphreatic,B20))-B20)))</f>
        <v>20.799999999999997</v>
      </c>
      <c r="L20" s="10">
        <f>VLOOKUP(F20,'Soil profile'!$A$16:$H$19,COLUMNS('Soil profile'!$A$16:$G$16),)+VLOOKUP(F20,'Soil profile'!$A$16:$H$19,COLUMNS('Soil profile'!$A$16:$H$16),)*(G20-B20)</f>
        <v>4.3919999999999995</v>
      </c>
      <c r="M20" s="10">
        <f>VLOOKUP($E20,'Soil profile'!$A$16:$F$19,COLUMNS('Soil profile'!$A$16:$F$16),)*(C20*1000+D20*1000*(1-a)-K20)/VLOOKUP($E20,'Soil profile'!$A$16:$F$19,COLUMNS('Soil profile'!$A$16:$E$16),)</f>
        <v>4.3919999999999995</v>
      </c>
      <c r="N20" s="35">
        <f t="shared" si="2"/>
        <v>0</v>
      </c>
      <c r="O20" s="20">
        <f t="shared" si="3"/>
        <v>20</v>
      </c>
      <c r="P20" s="20">
        <f t="shared" si="4"/>
        <v>42</v>
      </c>
    </row>
    <row r="21" spans="1:16" ht="15.75" thickBot="1" x14ac:dyDescent="0.3">
      <c r="A21" s="3">
        <f t="shared" si="5"/>
        <v>11</v>
      </c>
      <c r="B21" s="4">
        <f t="shared" si="6"/>
        <v>-2</v>
      </c>
      <c r="C21" s="25">
        <f t="shared" si="0"/>
        <v>0.13103600000000001</v>
      </c>
      <c r="D21" s="14">
        <f t="shared" si="1"/>
        <v>0</v>
      </c>
      <c r="E21" s="6">
        <f>VLOOKUP($B21,'Soil profile'!$M$15:$N$18,2,TRUE)-1</f>
        <v>1</v>
      </c>
      <c r="F21" s="6">
        <f>VLOOKUP($B21,'Soil profile'!$M$15:$N$18,2,TRUE)-1</f>
        <v>1</v>
      </c>
      <c r="G21" s="6">
        <f>IF(B22="",G20,VLOOKUP($F21,'Soil profile'!$A$16:$C$18,2,))</f>
        <v>-0.3</v>
      </c>
      <c r="H21" s="6">
        <f>VLOOKUP(F21,'Soil profile'!$A$16:$D$18,4,)</f>
        <v>13.7</v>
      </c>
      <c r="I21" s="6">
        <f>VLOOKUP(F21,'Soil profile'!$A$16:$D$18,3,)</f>
        <v>13</v>
      </c>
      <c r="J21" s="3">
        <f>K21/1000+L21/1000*VLOOKUP($E21,'Soil profile'!$A$16:$F$19,COLUMNS('Soil profile'!$A$16:$E$16),)/VLOOKUP($E21,'Soil profile'!$A$16:$F$19,COLUMNS('Soil profile'!$A$16:$F$16),)</f>
        <v>0.13103599999999999</v>
      </c>
      <c r="K21" s="3">
        <f>IF(B21&gt;Ztop1,NA(),IF(A21=1,'Soil profile'!$B$26,K20+I21*(B20-MIN(B20,MAX(Zphreatic,B21)))+H21*(MIN(B20,MAX(Zphreatic,B21))-B21)))</f>
        <v>22.099999999999998</v>
      </c>
      <c r="L21" s="10">
        <f>VLOOKUP(F21,'Soil profile'!$A$16:$H$19,COLUMNS('Soil profile'!$A$16:$G$16),)+VLOOKUP(F21,'Soil profile'!$A$16:$H$19,COLUMNS('Soil profile'!$A$16:$H$16),)*(G21-B21)</f>
        <v>4.5389999999999997</v>
      </c>
      <c r="M21" s="10">
        <f>VLOOKUP($E21,'Soil profile'!$A$16:$F$19,COLUMNS('Soil profile'!$A$16:$F$16),)*(C21*1000+D21*1000*(1-a)-K21)/VLOOKUP($E21,'Soil profile'!$A$16:$F$19,COLUMNS('Soil profile'!$A$16:$E$16),)</f>
        <v>4.5390000000000006</v>
      </c>
      <c r="N21" s="35">
        <f t="shared" si="2"/>
        <v>2.2204460492503131E-14</v>
      </c>
      <c r="O21" s="20">
        <f t="shared" si="3"/>
        <v>21</v>
      </c>
      <c r="P21" s="20">
        <f t="shared" si="4"/>
        <v>42</v>
      </c>
    </row>
    <row r="22" spans="1:16" ht="15.75" thickBot="1" x14ac:dyDescent="0.3">
      <c r="A22" s="3">
        <f t="shared" si="5"/>
        <v>12</v>
      </c>
      <c r="B22" s="4">
        <f t="shared" si="6"/>
        <v>-2.1</v>
      </c>
      <c r="C22" s="25">
        <f t="shared" si="0"/>
        <v>0.13553399999999999</v>
      </c>
      <c r="D22" s="14">
        <f t="shared" si="1"/>
        <v>1E-3</v>
      </c>
      <c r="E22" s="6">
        <f>VLOOKUP($B22,'Soil profile'!$M$15:$N$18,2,TRUE)-1</f>
        <v>1</v>
      </c>
      <c r="F22" s="6">
        <f>VLOOKUP($B22,'Soil profile'!$M$15:$N$18,2,TRUE)-1</f>
        <v>1</v>
      </c>
      <c r="G22" s="6">
        <f>IF(B23="",G21,VLOOKUP($F22,'Soil profile'!$A$16:$C$18,2,))</f>
        <v>-0.3</v>
      </c>
      <c r="H22" s="6">
        <f>VLOOKUP(F22,'Soil profile'!$A$16:$D$18,4,)</f>
        <v>13.7</v>
      </c>
      <c r="I22" s="6">
        <f>VLOOKUP(F22,'Soil profile'!$A$16:$D$18,3,)</f>
        <v>13</v>
      </c>
      <c r="J22" s="3">
        <f>K22/1000+L22/1000*VLOOKUP($E22,'Soil profile'!$A$16:$F$19,COLUMNS('Soil profile'!$A$16:$E$16),)/VLOOKUP($E22,'Soil profile'!$A$16:$F$19,COLUMNS('Soil profile'!$A$16:$F$16),)</f>
        <v>0.135934</v>
      </c>
      <c r="K22" s="3">
        <f>IF(B22&gt;Ztop1,NA(),IF(A22=1,'Soil profile'!$B$26,K21+I22*(B21-MIN(B21,MAX(Zphreatic,B22)))+H22*(MIN(B21,MAX(Zphreatic,B22))-B22)))</f>
        <v>23.47</v>
      </c>
      <c r="L22" s="10">
        <f>VLOOKUP(F22,'Soil profile'!$A$16:$H$19,COLUMNS('Soil profile'!$A$16:$G$16),)+VLOOKUP(F22,'Soil profile'!$A$16:$H$19,COLUMNS('Soil profile'!$A$16:$H$16),)*(G22-B22)</f>
        <v>4.6859999999999999</v>
      </c>
      <c r="M22" s="10">
        <f>VLOOKUP($E22,'Soil profile'!$A$16:$F$19,COLUMNS('Soil profile'!$A$16:$F$16),)*(C22*1000+D22*1000*(1-a)-K22)/VLOOKUP($E22,'Soil profile'!$A$16:$F$19,COLUMNS('Soil profile'!$A$16:$E$16),)</f>
        <v>4.6859999999999999</v>
      </c>
      <c r="N22" s="35">
        <f t="shared" si="2"/>
        <v>0</v>
      </c>
      <c r="O22" s="20">
        <f t="shared" si="3"/>
        <v>22</v>
      </c>
      <c r="P22" s="20">
        <f t="shared" si="4"/>
        <v>42</v>
      </c>
    </row>
    <row r="23" spans="1:16" ht="15.75" thickBot="1" x14ac:dyDescent="0.3">
      <c r="A23" s="3">
        <f t="shared" si="5"/>
        <v>13</v>
      </c>
      <c r="B23" s="4">
        <f t="shared" si="6"/>
        <v>-2.2000000000000002</v>
      </c>
      <c r="C23" s="25">
        <f t="shared" si="0"/>
        <v>0.14003199999999999</v>
      </c>
      <c r="D23" s="14">
        <f t="shared" si="1"/>
        <v>2E-3</v>
      </c>
      <c r="E23" s="6">
        <f>VLOOKUP($B23,'Soil profile'!$M$15:$N$18,2,TRUE)-1</f>
        <v>1</v>
      </c>
      <c r="F23" s="6">
        <f>VLOOKUP($B23,'Soil profile'!$M$15:$N$18,2,TRUE)-1</f>
        <v>1</v>
      </c>
      <c r="G23" s="6">
        <f>IF(B24="",G22,VLOOKUP($F23,'Soil profile'!$A$16:$C$18,2,))</f>
        <v>-0.3</v>
      </c>
      <c r="H23" s="6">
        <f>VLOOKUP(F23,'Soil profile'!$A$16:$D$18,4,)</f>
        <v>13.7</v>
      </c>
      <c r="I23" s="6">
        <f>VLOOKUP(F23,'Soil profile'!$A$16:$D$18,3,)</f>
        <v>13</v>
      </c>
      <c r="J23" s="3">
        <f>K23/1000+L23/1000*VLOOKUP($E23,'Soil profile'!$A$16:$F$19,COLUMNS('Soil profile'!$A$16:$E$16),)/VLOOKUP($E23,'Soil profile'!$A$16:$F$19,COLUMNS('Soil profile'!$A$16:$F$16),)</f>
        <v>0.14083200000000001</v>
      </c>
      <c r="K23" s="3">
        <f>IF(B23&gt;Ztop1,NA(),IF(A23=1,'Soil profile'!$B$26,K22+I23*(B22-MIN(B22,MAX(Zphreatic,B23)))+H23*(MIN(B22,MAX(Zphreatic,B23))-B23)))</f>
        <v>24.84</v>
      </c>
      <c r="L23" s="10">
        <f>VLOOKUP(F23,'Soil profile'!$A$16:$H$19,COLUMNS('Soil profile'!$A$16:$G$16),)+VLOOKUP(F23,'Soil profile'!$A$16:$H$19,COLUMNS('Soil profile'!$A$16:$H$16),)*(G23-B23)</f>
        <v>4.8330000000000002</v>
      </c>
      <c r="M23" s="10">
        <f>VLOOKUP($E23,'Soil profile'!$A$16:$F$19,COLUMNS('Soil profile'!$A$16:$F$16),)*(C23*1000+D23*1000*(1-a)-K23)/VLOOKUP($E23,'Soil profile'!$A$16:$F$19,COLUMNS('Soil profile'!$A$16:$E$16),)</f>
        <v>4.8329999999999993</v>
      </c>
      <c r="N23" s="35">
        <f t="shared" si="2"/>
        <v>2.2204460492503131E-14</v>
      </c>
      <c r="O23" s="20">
        <f t="shared" si="3"/>
        <v>23</v>
      </c>
      <c r="P23" s="20">
        <f t="shared" si="4"/>
        <v>42</v>
      </c>
    </row>
    <row r="24" spans="1:16" ht="15.75" thickBot="1" x14ac:dyDescent="0.3">
      <c r="A24" s="3">
        <f t="shared" si="5"/>
        <v>14</v>
      </c>
      <c r="B24" s="4">
        <f t="shared" si="6"/>
        <v>-2.2999999999999998</v>
      </c>
      <c r="C24" s="25">
        <f t="shared" si="0"/>
        <v>0.14457</v>
      </c>
      <c r="D24" s="14">
        <f t="shared" si="1"/>
        <v>2.8999999999999998E-3</v>
      </c>
      <c r="E24" s="6">
        <f>VLOOKUP($B24,'Soil profile'!$M$15:$N$18,2,TRUE)-1</f>
        <v>1</v>
      </c>
      <c r="F24" s="6">
        <f>VLOOKUP($B24,'Soil profile'!$M$15:$N$18,2,TRUE)-1</f>
        <v>1</v>
      </c>
      <c r="G24" s="6">
        <f>IF(B25="",G23,VLOOKUP($F24,'Soil profile'!$A$16:$C$18,2,))</f>
        <v>-0.3</v>
      </c>
      <c r="H24" s="6">
        <f>VLOOKUP(F24,'Soil profile'!$A$16:$D$18,4,)</f>
        <v>13.7</v>
      </c>
      <c r="I24" s="6">
        <f>VLOOKUP(F24,'Soil profile'!$A$16:$D$18,3,)</f>
        <v>13</v>
      </c>
      <c r="J24" s="3">
        <f>K24/1000+L24/1000*VLOOKUP($E24,'Soil profile'!$A$16:$F$19,COLUMNS('Soil profile'!$A$16:$E$16),)/VLOOKUP($E24,'Soil profile'!$A$16:$F$19,COLUMNS('Soil profile'!$A$16:$F$16),)</f>
        <v>0.14572999999999997</v>
      </c>
      <c r="K24" s="3">
        <f>IF(B24&gt;Ztop1,NA(),IF(A24=1,'Soil profile'!$B$26,K23+I24*(B23-MIN(B23,MAX(Zphreatic,B24)))+H24*(MIN(B23,MAX(Zphreatic,B24))-B24)))</f>
        <v>26.209999999999994</v>
      </c>
      <c r="L24" s="10">
        <f>VLOOKUP(F24,'Soil profile'!$A$16:$H$19,COLUMNS('Soil profile'!$A$16:$G$16),)+VLOOKUP(F24,'Soil profile'!$A$16:$H$19,COLUMNS('Soil profile'!$A$16:$H$16),)*(G24-B24)</f>
        <v>4.9799999999999995</v>
      </c>
      <c r="M24" s="10">
        <f>VLOOKUP($E24,'Soil profile'!$A$16:$F$19,COLUMNS('Soil profile'!$A$16:$F$16),)*(C24*1000+D24*1000*(1-a)-K24)/VLOOKUP($E24,'Soil profile'!$A$16:$F$19,COLUMNS('Soil profile'!$A$16:$E$16),)</f>
        <v>4.9799999999999995</v>
      </c>
      <c r="N24" s="35">
        <f t="shared" si="2"/>
        <v>0</v>
      </c>
      <c r="O24" s="20">
        <f t="shared" si="3"/>
        <v>24</v>
      </c>
      <c r="P24" s="20">
        <f t="shared" si="4"/>
        <v>42</v>
      </c>
    </row>
    <row r="25" spans="1:16" ht="15.75" thickBot="1" x14ac:dyDescent="0.3">
      <c r="A25" s="3">
        <f t="shared" si="5"/>
        <v>15</v>
      </c>
      <c r="B25" s="4">
        <f t="shared" si="6"/>
        <v>-2.4</v>
      </c>
      <c r="C25" s="25">
        <f t="shared" si="0"/>
        <v>0.14906800000000001</v>
      </c>
      <c r="D25" s="14">
        <f t="shared" si="1"/>
        <v>3.8999999999999998E-3</v>
      </c>
      <c r="E25" s="6">
        <f>VLOOKUP($B25,'Soil profile'!$M$15:$N$18,2,TRUE)-1</f>
        <v>1</v>
      </c>
      <c r="F25" s="6">
        <f>VLOOKUP($B25,'Soil profile'!$M$15:$N$18,2,TRUE)-1</f>
        <v>1</v>
      </c>
      <c r="G25" s="6">
        <f>IF(B26="",G24,VLOOKUP($F25,'Soil profile'!$A$16:$C$18,2,))</f>
        <v>-0.3</v>
      </c>
      <c r="H25" s="6">
        <f>VLOOKUP(F25,'Soil profile'!$A$16:$D$18,4,)</f>
        <v>13.7</v>
      </c>
      <c r="I25" s="6">
        <f>VLOOKUP(F25,'Soil profile'!$A$16:$D$18,3,)</f>
        <v>13</v>
      </c>
      <c r="J25" s="3">
        <f>K25/1000+L25/1000*VLOOKUP($E25,'Soil profile'!$A$16:$F$19,COLUMNS('Soil profile'!$A$16:$E$16),)/VLOOKUP($E25,'Soil profile'!$A$16:$F$19,COLUMNS('Soil profile'!$A$16:$F$16),)</f>
        <v>0.15062800000000001</v>
      </c>
      <c r="K25" s="3">
        <f>IF(B25&gt;Ztop1,NA(),IF(A25=1,'Soil profile'!$B$26,K24+I25*(B24-MIN(B24,MAX(Zphreatic,B25)))+H25*(MIN(B24,MAX(Zphreatic,B25))-B25)))</f>
        <v>27.579999999999995</v>
      </c>
      <c r="L25" s="10">
        <f>VLOOKUP(F25,'Soil profile'!$A$16:$H$19,COLUMNS('Soil profile'!$A$16:$G$16),)+VLOOKUP(F25,'Soil profile'!$A$16:$H$19,COLUMNS('Soil profile'!$A$16:$H$16),)*(G25-B25)</f>
        <v>5.1270000000000007</v>
      </c>
      <c r="M25" s="10">
        <f>VLOOKUP($E25,'Soil profile'!$A$16:$F$19,COLUMNS('Soil profile'!$A$16:$F$16),)*(C25*1000+D25*1000*(1-a)-K25)/VLOOKUP($E25,'Soil profile'!$A$16:$F$19,COLUMNS('Soil profile'!$A$16:$E$16),)</f>
        <v>5.1270000000000007</v>
      </c>
      <c r="N25" s="35">
        <f t="shared" si="2"/>
        <v>0</v>
      </c>
      <c r="O25" s="20">
        <f t="shared" si="3"/>
        <v>25</v>
      </c>
      <c r="P25" s="20">
        <f t="shared" si="4"/>
        <v>42</v>
      </c>
    </row>
    <row r="26" spans="1:16" ht="15.75" thickBot="1" x14ac:dyDescent="0.3">
      <c r="A26" s="3">
        <f t="shared" si="5"/>
        <v>16</v>
      </c>
      <c r="B26" s="4">
        <f t="shared" si="6"/>
        <v>-2.5</v>
      </c>
      <c r="C26" s="25">
        <f t="shared" si="0"/>
        <v>0.15356600000000001</v>
      </c>
      <c r="D26" s="14">
        <f t="shared" si="1"/>
        <v>4.8999999999999998E-3</v>
      </c>
      <c r="E26" s="6">
        <f>VLOOKUP($B26,'Soil profile'!$M$15:$N$18,2,TRUE)-1</f>
        <v>1</v>
      </c>
      <c r="F26" s="6">
        <f>VLOOKUP($B26,'Soil profile'!$M$15:$N$18,2,TRUE)-1</f>
        <v>1</v>
      </c>
      <c r="G26" s="6">
        <f>IF(B27="",G25,VLOOKUP($F26,'Soil profile'!$A$16:$C$18,2,))</f>
        <v>-0.3</v>
      </c>
      <c r="H26" s="6">
        <f>VLOOKUP(F26,'Soil profile'!$A$16:$D$18,4,)</f>
        <v>13.7</v>
      </c>
      <c r="I26" s="6">
        <f>VLOOKUP(F26,'Soil profile'!$A$16:$D$18,3,)</f>
        <v>13</v>
      </c>
      <c r="J26" s="3">
        <f>K26/1000+L26/1000*VLOOKUP($E26,'Soil profile'!$A$16:$F$19,COLUMNS('Soil profile'!$A$16:$E$16),)/VLOOKUP($E26,'Soil profile'!$A$16:$F$19,COLUMNS('Soil profile'!$A$16:$F$16),)</f>
        <v>0.155526</v>
      </c>
      <c r="K26" s="3">
        <f>IF(B26&gt;Ztop1,NA(),IF(A26=1,'Soil profile'!$B$26,K25+I26*(B25-MIN(B25,MAX(Zphreatic,B26)))+H26*(MIN(B25,MAX(Zphreatic,B26))-B26)))</f>
        <v>28.949999999999996</v>
      </c>
      <c r="L26" s="10">
        <f>VLOOKUP(F26,'Soil profile'!$A$16:$H$19,COLUMNS('Soil profile'!$A$16:$G$16),)+VLOOKUP(F26,'Soil profile'!$A$16:$H$19,COLUMNS('Soil profile'!$A$16:$H$16),)*(G26-B26)</f>
        <v>5.274</v>
      </c>
      <c r="M26" s="10">
        <f>VLOOKUP($E26,'Soil profile'!$A$16:$F$19,COLUMNS('Soil profile'!$A$16:$F$16),)*(C26*1000+D26*1000*(1-a)-K26)/VLOOKUP($E26,'Soil profile'!$A$16:$F$19,COLUMNS('Soil profile'!$A$16:$E$16),)</f>
        <v>5.2740000000000009</v>
      </c>
      <c r="N26" s="35">
        <f t="shared" si="2"/>
        <v>2.2204460492503131E-14</v>
      </c>
      <c r="O26" s="20">
        <f t="shared" si="3"/>
        <v>26</v>
      </c>
      <c r="P26" s="20">
        <f t="shared" si="4"/>
        <v>42</v>
      </c>
    </row>
    <row r="27" spans="1:16" ht="15.75" thickBot="1" x14ac:dyDescent="0.3">
      <c r="A27" s="3">
        <f t="shared" si="5"/>
        <v>17</v>
      </c>
      <c r="B27" s="4">
        <f t="shared" si="6"/>
        <v>-2.6</v>
      </c>
      <c r="C27" s="25">
        <f t="shared" si="0"/>
        <v>0.15806400000000001</v>
      </c>
      <c r="D27" s="14">
        <f t="shared" si="1"/>
        <v>5.8999999999999999E-3</v>
      </c>
      <c r="E27" s="6">
        <f>VLOOKUP($B27,'Soil profile'!$M$15:$N$18,2,TRUE)-1</f>
        <v>1</v>
      </c>
      <c r="F27" s="6">
        <f>VLOOKUP($B27,'Soil profile'!$M$15:$N$18,2,TRUE)-1</f>
        <v>1</v>
      </c>
      <c r="G27" s="6">
        <f>IF(B28="",G26,VLOOKUP($F27,'Soil profile'!$A$16:$C$18,2,))</f>
        <v>-0.3</v>
      </c>
      <c r="H27" s="6">
        <f>VLOOKUP(F27,'Soil profile'!$A$16:$D$18,4,)</f>
        <v>13.7</v>
      </c>
      <c r="I27" s="6">
        <f>VLOOKUP(F27,'Soil profile'!$A$16:$D$18,3,)</f>
        <v>13</v>
      </c>
      <c r="J27" s="3">
        <f>K27/1000+L27/1000*VLOOKUP($E27,'Soil profile'!$A$16:$F$19,COLUMNS('Soil profile'!$A$16:$E$16),)/VLOOKUP($E27,'Soil profile'!$A$16:$F$19,COLUMNS('Soil profile'!$A$16:$F$16),)</f>
        <v>0.16042399999999998</v>
      </c>
      <c r="K27" s="3">
        <f>IF(B27&gt;Ztop1,NA(),IF(A27=1,'Soil profile'!$B$26,K26+I27*(B26-MIN(B26,MAX(Zphreatic,B27)))+H27*(MIN(B26,MAX(Zphreatic,B27))-B27)))</f>
        <v>30.319999999999997</v>
      </c>
      <c r="L27" s="10">
        <f>VLOOKUP(F27,'Soil profile'!$A$16:$H$19,COLUMNS('Soil profile'!$A$16:$G$16),)+VLOOKUP(F27,'Soil profile'!$A$16:$H$19,COLUMNS('Soil profile'!$A$16:$H$16),)*(G27-B27)</f>
        <v>5.4210000000000003</v>
      </c>
      <c r="M27" s="10">
        <f>VLOOKUP($E27,'Soil profile'!$A$16:$F$19,COLUMNS('Soil profile'!$A$16:$F$16),)*(C27*1000+D27*1000*(1-a)-K27)/VLOOKUP($E27,'Soil profile'!$A$16:$F$19,COLUMNS('Soil profile'!$A$16:$E$16),)</f>
        <v>5.421000000000002</v>
      </c>
      <c r="N27" s="35">
        <f t="shared" si="2"/>
        <v>3.3306690738754696E-14</v>
      </c>
      <c r="O27" s="20">
        <f t="shared" si="3"/>
        <v>27</v>
      </c>
      <c r="P27" s="20">
        <f t="shared" si="4"/>
        <v>42</v>
      </c>
    </row>
    <row r="28" spans="1:16" ht="15.75" thickBot="1" x14ac:dyDescent="0.3">
      <c r="A28" s="3">
        <f t="shared" si="5"/>
        <v>18</v>
      </c>
      <c r="B28" s="4">
        <f t="shared" si="6"/>
        <v>-2.7</v>
      </c>
      <c r="C28" s="25">
        <f t="shared" si="0"/>
        <v>0.16256200000000001</v>
      </c>
      <c r="D28" s="14">
        <f t="shared" si="1"/>
        <v>6.8999999999999999E-3</v>
      </c>
      <c r="E28" s="6">
        <f>VLOOKUP($B28,'Soil profile'!$M$15:$N$18,2,TRUE)-1</f>
        <v>1</v>
      </c>
      <c r="F28" s="6">
        <f>VLOOKUP($B28,'Soil profile'!$M$15:$N$18,2,TRUE)-1</f>
        <v>1</v>
      </c>
      <c r="G28" s="6">
        <f>IF(B29="",G27,VLOOKUP($F28,'Soil profile'!$A$16:$C$18,2,))</f>
        <v>-0.3</v>
      </c>
      <c r="H28" s="6">
        <f>VLOOKUP(F28,'Soil profile'!$A$16:$D$18,4,)</f>
        <v>13.7</v>
      </c>
      <c r="I28" s="6">
        <f>VLOOKUP(F28,'Soil profile'!$A$16:$D$18,3,)</f>
        <v>13</v>
      </c>
      <c r="J28" s="3">
        <f>K28/1000+L28/1000*VLOOKUP($E28,'Soil profile'!$A$16:$F$19,COLUMNS('Soil profile'!$A$16:$E$16),)/VLOOKUP($E28,'Soil profile'!$A$16:$F$19,COLUMNS('Soil profile'!$A$16:$F$16),)</f>
        <v>0.16532200000000002</v>
      </c>
      <c r="K28" s="3">
        <f>IF(B28&gt;Ztop1,NA(),IF(A28=1,'Soil profile'!$B$26,K27+I28*(B27-MIN(B27,MAX(Zphreatic,B28)))+H28*(MIN(B27,MAX(Zphreatic,B28))-B28)))</f>
        <v>31.689999999999998</v>
      </c>
      <c r="L28" s="10">
        <f>VLOOKUP(F28,'Soil profile'!$A$16:$H$19,COLUMNS('Soil profile'!$A$16:$G$16),)+VLOOKUP(F28,'Soil profile'!$A$16:$H$19,COLUMNS('Soil profile'!$A$16:$H$16),)*(G28-B28)</f>
        <v>5.5680000000000005</v>
      </c>
      <c r="M28" s="10">
        <f>VLOOKUP($E28,'Soil profile'!$A$16:$F$19,COLUMNS('Soil profile'!$A$16:$F$16),)*(C28*1000+D28*1000*(1-a)-K28)/VLOOKUP($E28,'Soil profile'!$A$16:$F$19,COLUMNS('Soil profile'!$A$16:$E$16),)</f>
        <v>5.5680000000000005</v>
      </c>
      <c r="N28" s="35">
        <f t="shared" si="2"/>
        <v>0</v>
      </c>
      <c r="O28" s="20">
        <f t="shared" si="3"/>
        <v>28</v>
      </c>
      <c r="P28" s="20">
        <f t="shared" si="4"/>
        <v>42</v>
      </c>
    </row>
    <row r="29" spans="1:16" ht="15.75" thickBot="1" x14ac:dyDescent="0.3">
      <c r="A29" s="3">
        <f t="shared" si="5"/>
        <v>19</v>
      </c>
      <c r="B29" s="4">
        <f t="shared" si="6"/>
        <v>-2.8</v>
      </c>
      <c r="C29" s="25">
        <f t="shared" si="0"/>
        <v>0.1671</v>
      </c>
      <c r="D29" s="14">
        <f t="shared" si="1"/>
        <v>7.7999999999999996E-3</v>
      </c>
      <c r="E29" s="6">
        <f>VLOOKUP($B29,'Soil profile'!$M$15:$N$18,2,TRUE)-1</f>
        <v>1</v>
      </c>
      <c r="F29" s="6">
        <f>VLOOKUP($B29,'Soil profile'!$M$15:$N$18,2,TRUE)-1</f>
        <v>1</v>
      </c>
      <c r="G29" s="6">
        <f>IF(B30="",G28,VLOOKUP($F29,'Soil profile'!$A$16:$C$18,2,))</f>
        <v>-0.3</v>
      </c>
      <c r="H29" s="6">
        <f>VLOOKUP(F29,'Soil profile'!$A$16:$D$18,4,)</f>
        <v>13.7</v>
      </c>
      <c r="I29" s="6">
        <f>VLOOKUP(F29,'Soil profile'!$A$16:$D$18,3,)</f>
        <v>13</v>
      </c>
      <c r="J29" s="3">
        <f>K29/1000+L29/1000*VLOOKUP($E29,'Soil profile'!$A$16:$F$19,COLUMNS('Soil profile'!$A$16:$E$16),)/VLOOKUP($E29,'Soil profile'!$A$16:$F$19,COLUMNS('Soil profile'!$A$16:$F$16),)</f>
        <v>0.17021999999999998</v>
      </c>
      <c r="K29" s="3">
        <f>IF(B29&gt;Ztop1,NA(),IF(A29=1,'Soil profile'!$B$26,K28+I29*(B28-MIN(B28,MAX(Zphreatic,B29)))+H29*(MIN(B28,MAX(Zphreatic,B29))-B29)))</f>
        <v>33.059999999999995</v>
      </c>
      <c r="L29" s="10">
        <f>VLOOKUP(F29,'Soil profile'!$A$16:$H$19,COLUMNS('Soil profile'!$A$16:$G$16),)+VLOOKUP(F29,'Soil profile'!$A$16:$H$19,COLUMNS('Soil profile'!$A$16:$H$16),)*(G29-B29)</f>
        <v>5.7149999999999999</v>
      </c>
      <c r="M29" s="10">
        <f>VLOOKUP($E29,'Soil profile'!$A$16:$F$19,COLUMNS('Soil profile'!$A$16:$F$16),)*(C29*1000+D29*1000*(1-a)-K29)/VLOOKUP($E29,'Soil profile'!$A$16:$F$19,COLUMNS('Soil profile'!$A$16:$E$16),)</f>
        <v>5.7149999999999999</v>
      </c>
      <c r="N29" s="35">
        <f t="shared" si="2"/>
        <v>0</v>
      </c>
      <c r="O29" s="20">
        <f t="shared" si="3"/>
        <v>29</v>
      </c>
      <c r="P29" s="20">
        <f t="shared" si="4"/>
        <v>42</v>
      </c>
    </row>
    <row r="30" spans="1:16" ht="15.75" thickBot="1" x14ac:dyDescent="0.3">
      <c r="A30" s="3">
        <f t="shared" si="5"/>
        <v>20</v>
      </c>
      <c r="B30" s="4">
        <f t="shared" si="6"/>
        <v>-2.9</v>
      </c>
      <c r="C30" s="25">
        <f t="shared" si="0"/>
        <v>0.171598</v>
      </c>
      <c r="D30" s="14">
        <f t="shared" si="1"/>
        <v>8.8000000000000005E-3</v>
      </c>
      <c r="E30" s="6">
        <f>VLOOKUP($B30,'Soil profile'!$M$15:$N$18,2,TRUE)-1</f>
        <v>1</v>
      </c>
      <c r="F30" s="6">
        <f>VLOOKUP($B30,'Soil profile'!$M$15:$N$18,2,TRUE)-1</f>
        <v>1</v>
      </c>
      <c r="G30" s="6">
        <f>IF(B31="",G29,VLOOKUP($F30,'Soil profile'!$A$16:$C$18,2,))</f>
        <v>-0.3</v>
      </c>
      <c r="H30" s="6">
        <f>VLOOKUP(F30,'Soil profile'!$A$16:$D$18,4,)</f>
        <v>13.7</v>
      </c>
      <c r="I30" s="6">
        <f>VLOOKUP(F30,'Soil profile'!$A$16:$D$18,3,)</f>
        <v>13</v>
      </c>
      <c r="J30" s="3">
        <f>K30/1000+L30/1000*VLOOKUP($E30,'Soil profile'!$A$16:$F$19,COLUMNS('Soil profile'!$A$16:$E$16),)/VLOOKUP($E30,'Soil profile'!$A$16:$F$19,COLUMNS('Soil profile'!$A$16:$F$16),)</f>
        <v>0.175118</v>
      </c>
      <c r="K30" s="3">
        <f>IF(B30&gt;Ztop1,NA(),IF(A30=1,'Soil profile'!$B$26,K29+I30*(B29-MIN(B29,MAX(Zphreatic,B30)))+H30*(MIN(B29,MAX(Zphreatic,B30))-B30)))</f>
        <v>34.43</v>
      </c>
      <c r="L30" s="10">
        <f>VLOOKUP(F30,'Soil profile'!$A$16:$H$19,COLUMNS('Soil profile'!$A$16:$G$16),)+VLOOKUP(F30,'Soil profile'!$A$16:$H$19,COLUMNS('Soil profile'!$A$16:$H$16),)*(G30-B30)</f>
        <v>5.8620000000000001</v>
      </c>
      <c r="M30" s="10">
        <f>VLOOKUP($E30,'Soil profile'!$A$16:$F$19,COLUMNS('Soil profile'!$A$16:$F$16),)*(C30*1000+D30*1000*(1-a)-K30)/VLOOKUP($E30,'Soil profile'!$A$16:$F$19,COLUMNS('Soil profile'!$A$16:$E$16),)</f>
        <v>5.862000000000001</v>
      </c>
      <c r="N30" s="35">
        <f t="shared" si="2"/>
        <v>1.1102230246251565E-14</v>
      </c>
      <c r="O30" s="20">
        <f t="shared" si="3"/>
        <v>30</v>
      </c>
      <c r="P30" s="20">
        <f t="shared" si="4"/>
        <v>42</v>
      </c>
    </row>
    <row r="31" spans="1:16" ht="15.75" thickBot="1" x14ac:dyDescent="0.3">
      <c r="A31" s="3">
        <f t="shared" si="5"/>
        <v>21</v>
      </c>
      <c r="B31" s="4">
        <f t="shared" si="6"/>
        <v>-3</v>
      </c>
      <c r="C31" s="25">
        <f t="shared" si="0"/>
        <v>0.176096</v>
      </c>
      <c r="D31" s="14">
        <f t="shared" si="1"/>
        <v>9.7999999999999997E-3</v>
      </c>
      <c r="E31" s="6">
        <f>VLOOKUP($B31,'Soil profile'!$M$15:$N$18,2,TRUE)-1</f>
        <v>1</v>
      </c>
      <c r="F31" s="6">
        <f>VLOOKUP($B31,'Soil profile'!$M$15:$N$18,2,TRUE)-1</f>
        <v>1</v>
      </c>
      <c r="G31" s="6">
        <f>IF(B32="",G30,VLOOKUP($F31,'Soil profile'!$A$16:$C$18,2,))</f>
        <v>-0.3</v>
      </c>
      <c r="H31" s="6">
        <f>VLOOKUP(F31,'Soil profile'!$A$16:$D$18,4,)</f>
        <v>13.7</v>
      </c>
      <c r="I31" s="6">
        <f>VLOOKUP(F31,'Soil profile'!$A$16:$D$18,3,)</f>
        <v>13</v>
      </c>
      <c r="J31" s="3">
        <f>K31/1000+L31/1000*VLOOKUP($E31,'Soil profile'!$A$16:$F$19,COLUMNS('Soil profile'!$A$16:$E$16),)/VLOOKUP($E31,'Soil profile'!$A$16:$F$19,COLUMNS('Soil profile'!$A$16:$F$16),)</f>
        <v>0.18001600000000001</v>
      </c>
      <c r="K31" s="3">
        <f>IF(B31&gt;Ztop1,NA(),IF(A31=1,'Soil profile'!$B$26,K30+I31*(B30-MIN(B30,MAX(Zphreatic,B31)))+H31*(MIN(B30,MAX(Zphreatic,B31))-B31)))</f>
        <v>35.800000000000004</v>
      </c>
      <c r="L31" s="10">
        <f>VLOOKUP(F31,'Soil profile'!$A$16:$H$19,COLUMNS('Soil profile'!$A$16:$G$16),)+VLOOKUP(F31,'Soil profile'!$A$16:$H$19,COLUMNS('Soil profile'!$A$16:$H$16),)*(G31-B31)</f>
        <v>6.0090000000000003</v>
      </c>
      <c r="M31" s="10">
        <f>VLOOKUP($E31,'Soil profile'!$A$16:$F$19,COLUMNS('Soil profile'!$A$16:$F$16),)*(C31*1000+D31*1000*(1-a)-K31)/VLOOKUP($E31,'Soil profile'!$A$16:$F$19,COLUMNS('Soil profile'!$A$16:$E$16),)</f>
        <v>6.0089999999999995</v>
      </c>
      <c r="N31" s="35">
        <f t="shared" si="2"/>
        <v>2.2204460492503131E-14</v>
      </c>
      <c r="O31" s="20">
        <f t="shared" si="3"/>
        <v>31</v>
      </c>
      <c r="P31" s="20">
        <f t="shared" si="4"/>
        <v>42</v>
      </c>
    </row>
    <row r="32" spans="1:16" ht="15.75" thickBot="1" x14ac:dyDescent="0.3">
      <c r="A32" s="3">
        <f t="shared" si="5"/>
        <v>22</v>
      </c>
      <c r="B32" s="4">
        <f t="shared" si="6"/>
        <v>-3.1</v>
      </c>
      <c r="C32" s="25">
        <f t="shared" si="0"/>
        <v>0.180594</v>
      </c>
      <c r="D32" s="14">
        <f t="shared" si="1"/>
        <v>1.0800000000000001E-2</v>
      </c>
      <c r="E32" s="6">
        <f>VLOOKUP($B32,'Soil profile'!$M$15:$N$18,2,TRUE)-1</f>
        <v>1</v>
      </c>
      <c r="F32" s="6">
        <f>VLOOKUP($B32,'Soil profile'!$M$15:$N$18,2,TRUE)-1</f>
        <v>1</v>
      </c>
      <c r="G32" s="6">
        <f>IF(B33="",G31,VLOOKUP($F32,'Soil profile'!$A$16:$C$18,2,))</f>
        <v>-0.3</v>
      </c>
      <c r="H32" s="6">
        <f>VLOOKUP(F32,'Soil profile'!$A$16:$D$18,4,)</f>
        <v>13.7</v>
      </c>
      <c r="I32" s="6">
        <f>VLOOKUP(F32,'Soil profile'!$A$16:$D$18,3,)</f>
        <v>13</v>
      </c>
      <c r="J32" s="3">
        <f>K32/1000+L32/1000*VLOOKUP($E32,'Soil profile'!$A$16:$F$19,COLUMNS('Soil profile'!$A$16:$E$16),)/VLOOKUP($E32,'Soil profile'!$A$16:$F$19,COLUMNS('Soil profile'!$A$16:$F$16),)</f>
        <v>0.18491400000000002</v>
      </c>
      <c r="K32" s="3">
        <f>IF(B32&gt;Ztop1,NA(),IF(A32=1,'Soil profile'!$B$26,K31+I32*(B31-MIN(B31,MAX(Zphreatic,B32)))+H32*(MIN(B31,MAX(Zphreatic,B32))-B32)))</f>
        <v>37.170000000000009</v>
      </c>
      <c r="L32" s="10">
        <f>VLOOKUP(F32,'Soil profile'!$A$16:$H$19,COLUMNS('Soil profile'!$A$16:$G$16),)+VLOOKUP(F32,'Soil profile'!$A$16:$H$19,COLUMNS('Soil profile'!$A$16:$H$16),)*(G32-B32)</f>
        <v>6.1560000000000006</v>
      </c>
      <c r="M32" s="10">
        <f>VLOOKUP($E32,'Soil profile'!$A$16:$F$19,COLUMNS('Soil profile'!$A$16:$F$16),)*(C32*1000+D32*1000*(1-a)-K32)/VLOOKUP($E32,'Soil profile'!$A$16:$F$19,COLUMNS('Soil profile'!$A$16:$E$16),)</f>
        <v>6.1559999999999988</v>
      </c>
      <c r="N32" s="35">
        <f t="shared" si="2"/>
        <v>2.2204460492503131E-14</v>
      </c>
      <c r="O32" s="20">
        <f t="shared" si="3"/>
        <v>32</v>
      </c>
      <c r="P32" s="20">
        <f t="shared" si="4"/>
        <v>42</v>
      </c>
    </row>
    <row r="33" spans="1:16" ht="15.75" thickBot="1" x14ac:dyDescent="0.3">
      <c r="A33" s="3">
        <f t="shared" si="5"/>
        <v>23</v>
      </c>
      <c r="B33" s="4">
        <f t="shared" si="6"/>
        <v>-3.2</v>
      </c>
      <c r="C33" s="25">
        <f t="shared" si="0"/>
        <v>0.18509200000000001</v>
      </c>
      <c r="D33" s="14">
        <f t="shared" si="1"/>
        <v>1.18E-2</v>
      </c>
      <c r="E33" s="6">
        <f>VLOOKUP($B33,'Soil profile'!$M$15:$N$18,2,TRUE)-1</f>
        <v>1</v>
      </c>
      <c r="F33" s="6">
        <f>VLOOKUP($B33,'Soil profile'!$M$15:$N$18,2,TRUE)-1</f>
        <v>1</v>
      </c>
      <c r="G33" s="6">
        <f>IF(B34="",G32,VLOOKUP($F33,'Soil profile'!$A$16:$C$18,2,))</f>
        <v>-0.3</v>
      </c>
      <c r="H33" s="6">
        <f>VLOOKUP(F33,'Soil profile'!$A$16:$D$18,4,)</f>
        <v>13.7</v>
      </c>
      <c r="I33" s="6">
        <f>VLOOKUP(F33,'Soil profile'!$A$16:$D$18,3,)</f>
        <v>13</v>
      </c>
      <c r="J33" s="3">
        <f>K33/1000+L33/1000*VLOOKUP($E33,'Soil profile'!$A$16:$F$19,COLUMNS('Soil profile'!$A$16:$E$16),)/VLOOKUP($E33,'Soil profile'!$A$16:$F$19,COLUMNS('Soil profile'!$A$16:$F$16),)</f>
        <v>0.18981200000000004</v>
      </c>
      <c r="K33" s="3">
        <f>IF(B33&gt;Ztop1,NA(),IF(A33=1,'Soil profile'!$B$26,K32+I33*(B32-MIN(B32,MAX(Zphreatic,B33)))+H33*(MIN(B32,MAX(Zphreatic,B33))-B33)))</f>
        <v>38.540000000000013</v>
      </c>
      <c r="L33" s="10">
        <f>VLOOKUP(F33,'Soil profile'!$A$16:$H$19,COLUMNS('Soil profile'!$A$16:$G$16),)+VLOOKUP(F33,'Soil profile'!$A$16:$H$19,COLUMNS('Soil profile'!$A$16:$H$16),)*(G33-B33)</f>
        <v>6.3030000000000008</v>
      </c>
      <c r="M33" s="10">
        <f>VLOOKUP($E33,'Soil profile'!$A$16:$F$19,COLUMNS('Soil profile'!$A$16:$F$16),)*(C33*1000+D33*1000*(1-a)-K33)/VLOOKUP($E33,'Soil profile'!$A$16:$F$19,COLUMNS('Soil profile'!$A$16:$E$16),)</f>
        <v>6.3029999999999999</v>
      </c>
      <c r="N33" s="35">
        <f t="shared" si="2"/>
        <v>2.2204460492503131E-14</v>
      </c>
      <c r="O33" s="20">
        <f t="shared" si="3"/>
        <v>33</v>
      </c>
      <c r="P33" s="20">
        <f t="shared" si="4"/>
        <v>42</v>
      </c>
    </row>
    <row r="34" spans="1:16" ht="15.75" thickBot="1" x14ac:dyDescent="0.3">
      <c r="A34" s="3">
        <f t="shared" si="5"/>
        <v>24</v>
      </c>
      <c r="B34" s="4">
        <f t="shared" si="6"/>
        <v>-3.3</v>
      </c>
      <c r="C34" s="25">
        <f t="shared" si="0"/>
        <v>0.18959000000000001</v>
      </c>
      <c r="D34" s="14">
        <f t="shared" si="1"/>
        <v>1.2800000000000001E-2</v>
      </c>
      <c r="E34" s="6">
        <f>VLOOKUP($B34,'Soil profile'!$M$15:$N$18,2,TRUE)-1</f>
        <v>1</v>
      </c>
      <c r="F34" s="6">
        <f>VLOOKUP($B34,'Soil profile'!$M$15:$N$18,2,TRUE)-1</f>
        <v>1</v>
      </c>
      <c r="G34" s="6">
        <f>IF(B35="",G33,VLOOKUP($F34,'Soil profile'!$A$16:$C$18,2,))</f>
        <v>-0.3</v>
      </c>
      <c r="H34" s="6">
        <f>VLOOKUP(F34,'Soil profile'!$A$16:$D$18,4,)</f>
        <v>13.7</v>
      </c>
      <c r="I34" s="6">
        <f>VLOOKUP(F34,'Soil profile'!$A$16:$D$18,3,)</f>
        <v>13</v>
      </c>
      <c r="J34" s="3">
        <f>K34/1000+L34/1000*VLOOKUP($E34,'Soil profile'!$A$16:$F$19,COLUMNS('Soil profile'!$A$16:$E$16),)/VLOOKUP($E34,'Soil profile'!$A$16:$F$19,COLUMNS('Soil profile'!$A$16:$F$16),)</f>
        <v>0.19470999999999999</v>
      </c>
      <c r="K34" s="3">
        <f>IF(B34&gt;Ztop1,NA(),IF(A34=1,'Soil profile'!$B$26,K33+I34*(B33-MIN(B33,MAX(Zphreatic,B34)))+H34*(MIN(B33,MAX(Zphreatic,B34))-B34)))</f>
        <v>39.910000000000011</v>
      </c>
      <c r="L34" s="10">
        <f>VLOOKUP(F34,'Soil profile'!$A$16:$H$19,COLUMNS('Soil profile'!$A$16:$G$16),)+VLOOKUP(F34,'Soil profile'!$A$16:$H$19,COLUMNS('Soil profile'!$A$16:$H$16),)*(G34-B34)</f>
        <v>6.45</v>
      </c>
      <c r="M34" s="10">
        <f>VLOOKUP($E34,'Soil profile'!$A$16:$F$19,COLUMNS('Soil profile'!$A$16:$F$16),)*(C34*1000+D34*1000*(1-a)-K34)/VLOOKUP($E34,'Soil profile'!$A$16:$F$19,COLUMNS('Soil profile'!$A$16:$E$16),)</f>
        <v>6.45</v>
      </c>
      <c r="N34" s="35">
        <f t="shared" si="2"/>
        <v>0</v>
      </c>
      <c r="O34" s="20">
        <f t="shared" si="3"/>
        <v>34</v>
      </c>
      <c r="P34" s="20">
        <f t="shared" si="4"/>
        <v>42</v>
      </c>
    </row>
    <row r="35" spans="1:16" ht="15.75" thickBot="1" x14ac:dyDescent="0.3">
      <c r="A35" s="3">
        <f t="shared" si="5"/>
        <v>25</v>
      </c>
      <c r="B35" s="4">
        <f t="shared" si="6"/>
        <v>-3.4</v>
      </c>
      <c r="C35" s="25">
        <f t="shared" si="0"/>
        <v>0.194128</v>
      </c>
      <c r="D35" s="14">
        <f t="shared" si="1"/>
        <v>1.37E-2</v>
      </c>
      <c r="E35" s="6">
        <f>VLOOKUP($B35,'Soil profile'!$M$15:$N$18,2,TRUE)-1</f>
        <v>1</v>
      </c>
      <c r="F35" s="6">
        <f>VLOOKUP($B35,'Soil profile'!$M$15:$N$18,2,TRUE)-1</f>
        <v>1</v>
      </c>
      <c r="G35" s="6">
        <f>IF(B36="",G34,VLOOKUP($F35,'Soil profile'!$A$16:$C$18,2,))</f>
        <v>-0.3</v>
      </c>
      <c r="H35" s="6">
        <f>VLOOKUP(F35,'Soil profile'!$A$16:$D$18,4,)</f>
        <v>13.7</v>
      </c>
      <c r="I35" s="6">
        <f>VLOOKUP(F35,'Soil profile'!$A$16:$D$18,3,)</f>
        <v>13</v>
      </c>
      <c r="J35" s="3">
        <f>K35/1000+L35/1000*VLOOKUP($E35,'Soil profile'!$A$16:$F$19,COLUMNS('Soil profile'!$A$16:$E$16),)/VLOOKUP($E35,'Soil profile'!$A$16:$F$19,COLUMNS('Soil profile'!$A$16:$F$16),)</f>
        <v>0.19960800000000004</v>
      </c>
      <c r="K35" s="3">
        <f>IF(B35&gt;Ztop1,NA(),IF(A35=1,'Soil profile'!$B$26,K34+I35*(B34-MIN(B34,MAX(Zphreatic,B35)))+H35*(MIN(B34,MAX(Zphreatic,B35))-B35)))</f>
        <v>41.280000000000015</v>
      </c>
      <c r="L35" s="10">
        <f>VLOOKUP(F35,'Soil profile'!$A$16:$H$19,COLUMNS('Soil profile'!$A$16:$G$16),)+VLOOKUP(F35,'Soil profile'!$A$16:$H$19,COLUMNS('Soil profile'!$A$16:$H$16),)*(G35-B35)</f>
        <v>6.5970000000000004</v>
      </c>
      <c r="M35" s="10">
        <f>VLOOKUP($E35,'Soil profile'!$A$16:$F$19,COLUMNS('Soil profile'!$A$16:$F$16),)*(C35*1000+D35*1000*(1-a)-K35)/VLOOKUP($E35,'Soil profile'!$A$16:$F$19,COLUMNS('Soil profile'!$A$16:$E$16),)</f>
        <v>6.5969999999999986</v>
      </c>
      <c r="N35" s="35">
        <f t="shared" si="2"/>
        <v>2.2204460492503131E-14</v>
      </c>
      <c r="O35" s="20">
        <f t="shared" si="3"/>
        <v>35</v>
      </c>
      <c r="P35" s="20">
        <f t="shared" si="4"/>
        <v>42</v>
      </c>
    </row>
    <row r="36" spans="1:16" ht="15.75" thickBot="1" x14ac:dyDescent="0.3">
      <c r="A36" s="3">
        <f t="shared" si="5"/>
        <v>26</v>
      </c>
      <c r="B36" s="4">
        <f t="shared" si="6"/>
        <v>-3.5</v>
      </c>
      <c r="C36" s="25">
        <f t="shared" si="0"/>
        <v>0.198626</v>
      </c>
      <c r="D36" s="14">
        <f t="shared" si="1"/>
        <v>1.47E-2</v>
      </c>
      <c r="E36" s="6">
        <f>VLOOKUP($B36,'Soil profile'!$M$15:$N$18,2,TRUE)-1</f>
        <v>1</v>
      </c>
      <c r="F36" s="6">
        <f>VLOOKUP($B36,'Soil profile'!$M$15:$N$18,2,TRUE)-1</f>
        <v>1</v>
      </c>
      <c r="G36" s="6">
        <f>IF(B37="",G35,VLOOKUP($F36,'Soil profile'!$A$16:$C$18,2,))</f>
        <v>-0.3</v>
      </c>
      <c r="H36" s="6">
        <f>VLOOKUP(F36,'Soil profile'!$A$16:$D$18,4,)</f>
        <v>13.7</v>
      </c>
      <c r="I36" s="6">
        <f>VLOOKUP(F36,'Soil profile'!$A$16:$D$18,3,)</f>
        <v>13</v>
      </c>
      <c r="J36" s="3">
        <f>K36/1000+L36/1000*VLOOKUP($E36,'Soil profile'!$A$16:$F$19,COLUMNS('Soil profile'!$A$16:$E$16),)/VLOOKUP($E36,'Soil profile'!$A$16:$F$19,COLUMNS('Soil profile'!$A$16:$F$16),)</f>
        <v>0.20450600000000002</v>
      </c>
      <c r="K36" s="3">
        <f>IF(B36&gt;Ztop1,NA(),IF(A36=1,'Soil profile'!$B$26,K35+I36*(B35-MIN(B35,MAX(Zphreatic,B36)))+H36*(MIN(B35,MAX(Zphreatic,B36))-B36)))</f>
        <v>42.65000000000002</v>
      </c>
      <c r="L36" s="10">
        <f>VLOOKUP(F36,'Soil profile'!$A$16:$H$19,COLUMNS('Soil profile'!$A$16:$G$16),)+VLOOKUP(F36,'Soil profile'!$A$16:$H$19,COLUMNS('Soil profile'!$A$16:$H$16),)*(G36-B36)</f>
        <v>6.7439999999999998</v>
      </c>
      <c r="M36" s="10">
        <f>VLOOKUP($E36,'Soil profile'!$A$16:$F$19,COLUMNS('Soil profile'!$A$16:$F$16),)*(C36*1000+D36*1000*(1-a)-K36)/VLOOKUP($E36,'Soil profile'!$A$16:$F$19,COLUMNS('Soil profile'!$A$16:$E$16),)</f>
        <v>6.7439999999999998</v>
      </c>
      <c r="N36" s="35">
        <f t="shared" si="2"/>
        <v>0</v>
      </c>
      <c r="O36" s="20">
        <f t="shared" si="3"/>
        <v>36</v>
      </c>
      <c r="P36" s="20">
        <f t="shared" si="4"/>
        <v>42</v>
      </c>
    </row>
    <row r="37" spans="1:16" ht="15.75" thickBot="1" x14ac:dyDescent="0.3">
      <c r="A37" s="3">
        <f t="shared" si="5"/>
        <v>27</v>
      </c>
      <c r="B37" s="4">
        <f t="shared" si="6"/>
        <v>-3.6</v>
      </c>
      <c r="C37" s="25">
        <f t="shared" si="0"/>
        <v>0.203124</v>
      </c>
      <c r="D37" s="14">
        <f t="shared" si="1"/>
        <v>1.5699999999999999E-2</v>
      </c>
      <c r="E37" s="6">
        <f>VLOOKUP($B37,'Soil profile'!$M$15:$N$18,2,TRUE)-1</f>
        <v>1</v>
      </c>
      <c r="F37" s="6">
        <f>VLOOKUP($B37,'Soil profile'!$M$15:$N$18,2,TRUE)-1</f>
        <v>1</v>
      </c>
      <c r="G37" s="6">
        <f>IF(B38="",G36,VLOOKUP($F37,'Soil profile'!$A$16:$C$18,2,))</f>
        <v>-0.3</v>
      </c>
      <c r="H37" s="6">
        <f>VLOOKUP(F37,'Soil profile'!$A$16:$D$18,4,)</f>
        <v>13.7</v>
      </c>
      <c r="I37" s="6">
        <f>VLOOKUP(F37,'Soil profile'!$A$16:$D$18,3,)</f>
        <v>13</v>
      </c>
      <c r="J37" s="3">
        <f>K37/1000+L37/1000*VLOOKUP($E37,'Soil profile'!$A$16:$F$19,COLUMNS('Soil profile'!$A$16:$E$16),)/VLOOKUP($E37,'Soil profile'!$A$16:$F$19,COLUMNS('Soil profile'!$A$16:$F$16),)</f>
        <v>0.20940400000000003</v>
      </c>
      <c r="K37" s="3">
        <f>IF(B37&gt;Ztop1,NA(),IF(A37=1,'Soil profile'!$B$26,K36+I37*(B36-MIN(B36,MAX(Zphreatic,B37)))+H37*(MIN(B36,MAX(Zphreatic,B37))-B37)))</f>
        <v>44.020000000000024</v>
      </c>
      <c r="L37" s="10">
        <f>VLOOKUP(F37,'Soil profile'!$A$16:$H$19,COLUMNS('Soil profile'!$A$16:$G$16),)+VLOOKUP(F37,'Soil profile'!$A$16:$H$19,COLUMNS('Soil profile'!$A$16:$H$16),)*(G37-B37)</f>
        <v>6.891</v>
      </c>
      <c r="M37" s="10">
        <f>VLOOKUP($E37,'Soil profile'!$A$16:$F$19,COLUMNS('Soil profile'!$A$16:$F$16),)*(C37*1000+D37*1000*(1-a)-K37)/VLOOKUP($E37,'Soil profile'!$A$16:$F$19,COLUMNS('Soil profile'!$A$16:$E$16),)</f>
        <v>6.8909999999999982</v>
      </c>
      <c r="N37" s="35">
        <f t="shared" si="2"/>
        <v>2.2204460492503131E-14</v>
      </c>
      <c r="O37" s="20">
        <f t="shared" si="3"/>
        <v>37</v>
      </c>
      <c r="P37" s="20">
        <f t="shared" si="4"/>
        <v>42</v>
      </c>
    </row>
    <row r="38" spans="1:16" ht="15.75" thickBot="1" x14ac:dyDescent="0.3">
      <c r="A38" s="3">
        <f t="shared" si="5"/>
        <v>28</v>
      </c>
      <c r="B38" s="4">
        <f t="shared" si="6"/>
        <v>-3.7</v>
      </c>
      <c r="C38" s="25">
        <f t="shared" si="0"/>
        <v>0.207622</v>
      </c>
      <c r="D38" s="14">
        <f t="shared" si="1"/>
        <v>1.67E-2</v>
      </c>
      <c r="E38" s="6">
        <f>VLOOKUP($B38,'Soil profile'!$M$15:$N$18,2,TRUE)-1</f>
        <v>1</v>
      </c>
      <c r="F38" s="6">
        <f>VLOOKUP($B38,'Soil profile'!$M$15:$N$18,2,TRUE)-1</f>
        <v>1</v>
      </c>
      <c r="G38" s="6">
        <f>IF(B39="",G37,VLOOKUP($F38,'Soil profile'!$A$16:$C$18,2,))</f>
        <v>-0.3</v>
      </c>
      <c r="H38" s="6">
        <f>VLOOKUP(F38,'Soil profile'!$A$16:$D$18,4,)</f>
        <v>13.7</v>
      </c>
      <c r="I38" s="6">
        <f>VLOOKUP(F38,'Soil profile'!$A$16:$D$18,3,)</f>
        <v>13</v>
      </c>
      <c r="J38" s="3">
        <f>K38/1000+L38/1000*VLOOKUP($E38,'Soil profile'!$A$16:$F$19,COLUMNS('Soil profile'!$A$16:$E$16),)/VLOOKUP($E38,'Soil profile'!$A$16:$F$19,COLUMNS('Soil profile'!$A$16:$F$16),)</f>
        <v>0.21430200000000005</v>
      </c>
      <c r="K38" s="3">
        <f>IF(B38&gt;Ztop1,NA(),IF(A38=1,'Soil profile'!$B$26,K37+I38*(B37-MIN(B37,MAX(Zphreatic,B38)))+H38*(MIN(B37,MAX(Zphreatic,B38))-B38)))</f>
        <v>45.390000000000029</v>
      </c>
      <c r="L38" s="10">
        <f>VLOOKUP(F38,'Soil profile'!$A$16:$H$19,COLUMNS('Soil profile'!$A$16:$G$16),)+VLOOKUP(F38,'Soil profile'!$A$16:$H$19,COLUMNS('Soil profile'!$A$16:$H$16),)*(G38-B38)</f>
        <v>7.0380000000000003</v>
      </c>
      <c r="M38" s="10">
        <f>VLOOKUP($E38,'Soil profile'!$A$16:$F$19,COLUMNS('Soil profile'!$A$16:$F$16),)*(C38*1000+D38*1000*(1-a)-K38)/VLOOKUP($E38,'Soil profile'!$A$16:$F$19,COLUMNS('Soil profile'!$A$16:$E$16),)</f>
        <v>7.0379999999999994</v>
      </c>
      <c r="N38" s="35">
        <f t="shared" si="2"/>
        <v>2.2204460492503131E-14</v>
      </c>
      <c r="O38" s="20">
        <f t="shared" si="3"/>
        <v>38</v>
      </c>
      <c r="P38" s="20">
        <f t="shared" si="4"/>
        <v>42</v>
      </c>
    </row>
    <row r="39" spans="1:16" ht="15.75" thickBot="1" x14ac:dyDescent="0.3">
      <c r="A39" s="3">
        <f t="shared" si="5"/>
        <v>29</v>
      </c>
      <c r="B39" s="4">
        <f t="shared" si="6"/>
        <v>-3.8</v>
      </c>
      <c r="C39" s="25">
        <f t="shared" si="0"/>
        <v>0.21212</v>
      </c>
      <c r="D39" s="14">
        <f t="shared" si="1"/>
        <v>1.77E-2</v>
      </c>
      <c r="E39" s="6">
        <f>VLOOKUP($B39,'Soil profile'!$M$15:$N$18,2,TRUE)-1</f>
        <v>1</v>
      </c>
      <c r="F39" s="6">
        <f>VLOOKUP($B39,'Soil profile'!$M$15:$N$18,2,TRUE)-1</f>
        <v>1</v>
      </c>
      <c r="G39" s="6">
        <f>IF(B40="",G38,VLOOKUP($F39,'Soil profile'!$A$16:$C$18,2,))</f>
        <v>-0.3</v>
      </c>
      <c r="H39" s="6">
        <f>VLOOKUP(F39,'Soil profile'!$A$16:$D$18,4,)</f>
        <v>13.7</v>
      </c>
      <c r="I39" s="6">
        <f>VLOOKUP(F39,'Soil profile'!$A$16:$D$18,3,)</f>
        <v>13</v>
      </c>
      <c r="J39" s="3">
        <f>K39/1000+L39/1000*VLOOKUP($E39,'Soil profile'!$A$16:$F$19,COLUMNS('Soil profile'!$A$16:$E$16),)/VLOOKUP($E39,'Soil profile'!$A$16:$F$19,COLUMNS('Soil profile'!$A$16:$F$16),)</f>
        <v>0.21920000000000001</v>
      </c>
      <c r="K39" s="3">
        <f>IF(B39&gt;Ztop1,NA(),IF(A39=1,'Soil profile'!$B$26,K38+I39*(B38-MIN(B38,MAX(Zphreatic,B39)))+H39*(MIN(B38,MAX(Zphreatic,B39))-B39)))</f>
        <v>46.760000000000026</v>
      </c>
      <c r="L39" s="10">
        <f>VLOOKUP(F39,'Soil profile'!$A$16:$H$19,COLUMNS('Soil profile'!$A$16:$G$16),)+VLOOKUP(F39,'Soil profile'!$A$16:$H$19,COLUMNS('Soil profile'!$A$16:$H$16),)*(G39-B39)</f>
        <v>7.1849999999999996</v>
      </c>
      <c r="M39" s="10">
        <f>VLOOKUP($E39,'Soil profile'!$A$16:$F$19,COLUMNS('Soil profile'!$A$16:$F$16),)*(C39*1000+D39*1000*(1-a)-K39)/VLOOKUP($E39,'Soil profile'!$A$16:$F$19,COLUMNS('Soil profile'!$A$16:$E$16),)</f>
        <v>7.1849999999999996</v>
      </c>
      <c r="N39" s="35">
        <f t="shared" si="2"/>
        <v>0</v>
      </c>
      <c r="O39" s="20">
        <f t="shared" si="3"/>
        <v>39</v>
      </c>
      <c r="P39" s="20">
        <f t="shared" si="4"/>
        <v>42</v>
      </c>
    </row>
    <row r="40" spans="1:16" ht="15.75" thickBot="1" x14ac:dyDescent="0.3">
      <c r="A40" s="3">
        <f t="shared" si="5"/>
        <v>30</v>
      </c>
      <c r="B40" s="4">
        <f t="shared" si="6"/>
        <v>-3.9</v>
      </c>
      <c r="C40" s="25">
        <f t="shared" si="0"/>
        <v>0.21665799999999999</v>
      </c>
      <c r="D40" s="14">
        <f t="shared" si="1"/>
        <v>1.8599999999999998E-2</v>
      </c>
      <c r="E40" s="6">
        <f>VLOOKUP($B40,'Soil profile'!$M$15:$N$18,2,TRUE)-1</f>
        <v>1</v>
      </c>
      <c r="F40" s="6">
        <f>VLOOKUP($B40,'Soil profile'!$M$15:$N$18,2,TRUE)-1</f>
        <v>1</v>
      </c>
      <c r="G40" s="6">
        <f>IF(B41="",G39,VLOOKUP($F40,'Soil profile'!$A$16:$C$18,2,))</f>
        <v>-0.3</v>
      </c>
      <c r="H40" s="6">
        <f>VLOOKUP(F40,'Soil profile'!$A$16:$D$18,4,)</f>
        <v>13.7</v>
      </c>
      <c r="I40" s="6">
        <f>VLOOKUP(F40,'Soil profile'!$A$16:$D$18,3,)</f>
        <v>13</v>
      </c>
      <c r="J40" s="3">
        <f>K40/1000+L40/1000*VLOOKUP($E40,'Soil profile'!$A$16:$F$19,COLUMNS('Soil profile'!$A$16:$E$16),)/VLOOKUP($E40,'Soil profile'!$A$16:$F$19,COLUMNS('Soil profile'!$A$16:$F$16),)</f>
        <v>0.22409800000000005</v>
      </c>
      <c r="K40" s="3">
        <f>IF(B40&gt;Ztop1,NA(),IF(A40=1,'Soil profile'!$B$26,K39+I40*(B39-MIN(B39,MAX(Zphreatic,B40)))+H40*(MIN(B39,MAX(Zphreatic,B40))-B40)))</f>
        <v>48.130000000000031</v>
      </c>
      <c r="L40" s="10">
        <f>VLOOKUP(F40,'Soil profile'!$A$16:$H$19,COLUMNS('Soil profile'!$A$16:$G$16),)+VLOOKUP(F40,'Soil profile'!$A$16:$H$19,COLUMNS('Soil profile'!$A$16:$H$16),)*(G40-B40)</f>
        <v>7.3319999999999999</v>
      </c>
      <c r="M40" s="10">
        <f>VLOOKUP($E40,'Soil profile'!$A$16:$F$19,COLUMNS('Soil profile'!$A$16:$F$16),)*(C40*1000+D40*1000*(1-a)-K40)/VLOOKUP($E40,'Soil profile'!$A$16:$F$19,COLUMNS('Soil profile'!$A$16:$E$16),)</f>
        <v>7.3319999999999981</v>
      </c>
      <c r="N40" s="35">
        <f t="shared" si="2"/>
        <v>2.2204460492503131E-14</v>
      </c>
      <c r="O40" s="20">
        <f t="shared" si="3"/>
        <v>40</v>
      </c>
      <c r="P40" s="20">
        <f t="shared" si="4"/>
        <v>42</v>
      </c>
    </row>
    <row r="41" spans="1:16" ht="15.75" thickBot="1" x14ac:dyDescent="0.3">
      <c r="A41" s="3">
        <f t="shared" si="5"/>
        <v>31</v>
      </c>
      <c r="B41" s="4">
        <f t="shared" si="6"/>
        <v>-4</v>
      </c>
      <c r="C41" s="25">
        <f t="shared" si="0"/>
        <v>0.22115599999999999</v>
      </c>
      <c r="D41" s="14">
        <f t="shared" si="1"/>
        <v>1.9599999999999999E-2</v>
      </c>
      <c r="E41" s="6">
        <f>VLOOKUP($B41,'Soil profile'!$M$15:$N$18,2,TRUE)-1</f>
        <v>1</v>
      </c>
      <c r="F41" s="6">
        <f>VLOOKUP($B41,'Soil profile'!$M$15:$N$18,2,TRUE)-1</f>
        <v>1</v>
      </c>
      <c r="G41" s="6">
        <f>IF(B42="",G40,VLOOKUP($F41,'Soil profile'!$A$16:$C$18,2,))</f>
        <v>-0.3</v>
      </c>
      <c r="H41" s="6">
        <f>VLOOKUP(F41,'Soil profile'!$A$16:$D$18,4,)</f>
        <v>13.7</v>
      </c>
      <c r="I41" s="6">
        <f>VLOOKUP(F41,'Soil profile'!$A$16:$D$18,3,)</f>
        <v>13</v>
      </c>
      <c r="J41" s="3">
        <f>K41/1000+L41/1000*VLOOKUP($E41,'Soil profile'!$A$16:$F$19,COLUMNS('Soil profile'!$A$16:$E$16),)/VLOOKUP($E41,'Soil profile'!$A$16:$F$19,COLUMNS('Soil profile'!$A$16:$F$16),)</f>
        <v>0.22899600000000006</v>
      </c>
      <c r="K41" s="3">
        <f>IF(B41&gt;Ztop1,NA(),IF(A41=1,'Soil profile'!$B$26,K40+I41*(B40-MIN(B40,MAX(Zphreatic,B41)))+H41*(MIN(B40,MAX(Zphreatic,B41))-B41)))</f>
        <v>49.500000000000036</v>
      </c>
      <c r="L41" s="10">
        <f>VLOOKUP(F41,'Soil profile'!$A$16:$H$19,COLUMNS('Soil profile'!$A$16:$G$16),)+VLOOKUP(F41,'Soil profile'!$A$16:$H$19,COLUMNS('Soil profile'!$A$16:$H$16),)*(G41-B41)</f>
        <v>7.4790000000000001</v>
      </c>
      <c r="M41" s="10">
        <f>VLOOKUP($E41,'Soil profile'!$A$16:$F$19,COLUMNS('Soil profile'!$A$16:$F$16),)*(C41*1000+D41*1000*(1-a)-K41)/VLOOKUP($E41,'Soil profile'!$A$16:$F$19,COLUMNS('Soil profile'!$A$16:$E$16),)</f>
        <v>7.4789999999999983</v>
      </c>
      <c r="N41" s="35">
        <f t="shared" si="2"/>
        <v>2.2204460492503131E-14</v>
      </c>
      <c r="O41" s="20">
        <f t="shared" si="3"/>
        <v>41</v>
      </c>
      <c r="P41" s="20">
        <f t="shared" si="4"/>
        <v>42</v>
      </c>
    </row>
    <row r="42" spans="1:16" ht="15.75" thickBot="1" x14ac:dyDescent="0.3">
      <c r="A42" s="3">
        <f t="shared" si="5"/>
        <v>32</v>
      </c>
      <c r="B42" s="4">
        <f t="shared" si="6"/>
        <v>-4.0999999999999996</v>
      </c>
      <c r="C42" s="25">
        <f t="shared" si="0"/>
        <v>0.16966300000000001</v>
      </c>
      <c r="D42" s="14">
        <f t="shared" si="1"/>
        <v>2.06E-2</v>
      </c>
      <c r="E42" s="6">
        <f>VLOOKUP($B42,'Soil profile'!$M$15:$N$18,2,TRUE)-1</f>
        <v>2</v>
      </c>
      <c r="F42" s="6">
        <f>VLOOKUP($B42,'Soil profile'!$M$15:$N$18,2,TRUE)-1</f>
        <v>2</v>
      </c>
      <c r="G42" s="6">
        <f>IF(B43="",G41,VLOOKUP($F42,'Soil profile'!$A$16:$C$18,2,))</f>
        <v>-4</v>
      </c>
      <c r="H42" s="6">
        <f>VLOOKUP(F42,'Soil profile'!$A$16:$D$18,4,)</f>
        <v>12.6</v>
      </c>
      <c r="I42" s="6">
        <f>VLOOKUP(F42,'Soil profile'!$A$16:$D$18,3,)</f>
        <v>12</v>
      </c>
      <c r="J42" s="3">
        <f>K42/1000+L42/1000*VLOOKUP($E42,'Soil profile'!$A$16:$F$19,COLUMNS('Soil profile'!$A$16:$E$16),)/VLOOKUP($E42,'Soil profile'!$A$16:$F$19,COLUMNS('Soil profile'!$A$16:$F$16),)</f>
        <v>0.17790300000000003</v>
      </c>
      <c r="K42" s="3">
        <f>IF(B42&gt;Ztop1,NA(),IF(A42=1,'Soil profile'!$B$26,K41+I42*(B41-MIN(B41,MAX(Zphreatic,B42)))+H42*(MIN(B41,MAX(Zphreatic,B42))-B42)))</f>
        <v>50.760000000000034</v>
      </c>
      <c r="L42" s="10">
        <f>VLOOKUP(F42,'Soil profile'!$A$16:$H$19,COLUMNS('Soil profile'!$A$16:$G$16),)+VLOOKUP(F42,'Soil profile'!$A$16:$H$19,COLUMNS('Soil profile'!$A$16:$H$16),)*(G42-B42)</f>
        <v>7.4790000000000001</v>
      </c>
      <c r="M42" s="10">
        <f>VLOOKUP($E42,'Soil profile'!$A$16:$F$19,COLUMNS('Soil profile'!$A$16:$F$16),)*(C42*1000+D42*1000*(1-a)-K42)/VLOOKUP($E42,'Soil profile'!$A$16:$F$19,COLUMNS('Soil profile'!$A$16:$E$16),)</f>
        <v>7.4789999999999992</v>
      </c>
      <c r="N42" s="35">
        <f t="shared" si="2"/>
        <v>2.2204460492503131E-14</v>
      </c>
      <c r="O42" s="20">
        <f t="shared" si="3"/>
        <v>42</v>
      </c>
      <c r="P42" s="20">
        <f t="shared" si="4"/>
        <v>42</v>
      </c>
    </row>
    <row r="43" spans="1:16" ht="15" thickBot="1" x14ac:dyDescent="0.35">
      <c r="A43" s="3">
        <f t="shared" si="5"/>
        <v>33</v>
      </c>
      <c r="B43" s="4">
        <f t="shared" si="6"/>
        <v>-4.2</v>
      </c>
      <c r="C43" s="25">
        <f t="shared" ref="C43:C74" si="7">ROUND(J43-D43*(1-a),7)</f>
        <v>0.17052300000000001</v>
      </c>
      <c r="D43" s="14">
        <f t="shared" ref="D43:D74" si="8">IF(B43&gt;=Zphreatic,0,ROUND(9.81*(Zphreatic-B43)/1000,4))</f>
        <v>2.1600000000000001E-2</v>
      </c>
      <c r="E43" s="6">
        <f>VLOOKUP($B43,'Soil profile'!$M$15:$N$18,2,TRUE)-1</f>
        <v>2</v>
      </c>
      <c r="F43" s="6">
        <f>VLOOKUP($B43,'Soil profile'!$M$15:$N$18,2,TRUE)-1</f>
        <v>2</v>
      </c>
      <c r="G43" s="6">
        <f>IF(B44="",G42,VLOOKUP($F43,'Soil profile'!$A$16:$C$18,2,))</f>
        <v>-4</v>
      </c>
      <c r="H43" s="6">
        <f>VLOOKUP(F43,'Soil profile'!$A$16:$D$18,4,)</f>
        <v>12.6</v>
      </c>
      <c r="I43" s="6">
        <f>VLOOKUP(F43,'Soil profile'!$A$16:$D$18,3,)</f>
        <v>12</v>
      </c>
      <c r="J43" s="3">
        <f>K43/1000+L43/1000*VLOOKUP($E43,'Soil profile'!$A$16:$F$19,COLUMNS('Soil profile'!$A$16:$E$16),)/VLOOKUP($E43,'Soil profile'!$A$16:$F$19,COLUMNS('Soil profile'!$A$16:$F$16),)</f>
        <v>0.17916300000000004</v>
      </c>
      <c r="K43" s="3">
        <f>IF(B43&gt;Ztop1,NA(),IF(A43=1,'Soil profile'!$B$26,K42+I43*(B42-MIN(B42,MAX(Zphreatic,B43)))+H43*(MIN(B42,MAX(Zphreatic,B43))-B43)))</f>
        <v>52.020000000000039</v>
      </c>
      <c r="L43" s="10">
        <f>VLOOKUP(F43,'Soil profile'!$A$16:$H$19,COLUMNS('Soil profile'!$A$16:$G$16),)+VLOOKUP(F43,'Soil profile'!$A$16:$H$19,COLUMNS('Soil profile'!$A$16:$H$16),)*(G43-B43)</f>
        <v>7.4790000000000001</v>
      </c>
      <c r="M43" s="10">
        <f>VLOOKUP($E43,'Soil profile'!$A$16:$F$19,COLUMNS('Soil profile'!$A$16:$F$16),)*(C43*1000+D43*1000*(1-a)-K43)/VLOOKUP($E43,'Soil profile'!$A$16:$F$19,COLUMNS('Soil profile'!$A$16:$E$16),)</f>
        <v>7.4789999999999983</v>
      </c>
      <c r="N43" s="35">
        <f t="shared" si="2"/>
        <v>2.2204460492503131E-14</v>
      </c>
      <c r="O43" s="20">
        <f t="shared" si="3"/>
        <v>43</v>
      </c>
      <c r="P43" s="20">
        <f t="shared" si="4"/>
        <v>42</v>
      </c>
    </row>
    <row r="44" spans="1:16" ht="15" thickBot="1" x14ac:dyDescent="0.35">
      <c r="A44" s="3">
        <f t="shared" si="5"/>
        <v>34</v>
      </c>
      <c r="B44" s="4">
        <f t="shared" si="6"/>
        <v>-4.3</v>
      </c>
      <c r="C44" s="25">
        <f t="shared" si="7"/>
        <v>0.17138300000000001</v>
      </c>
      <c r="D44" s="14">
        <f t="shared" si="8"/>
        <v>2.2599999999999999E-2</v>
      </c>
      <c r="E44" s="6">
        <f>VLOOKUP($B44,'Soil profile'!$M$15:$N$18,2,TRUE)-1</f>
        <v>2</v>
      </c>
      <c r="F44" s="6">
        <f>VLOOKUP($B44,'Soil profile'!$M$15:$N$18,2,TRUE)-1</f>
        <v>2</v>
      </c>
      <c r="G44" s="6">
        <f>IF(B45="",G43,VLOOKUP($F44,'Soil profile'!$A$16:$C$18,2,))</f>
        <v>-4</v>
      </c>
      <c r="H44" s="6">
        <f>VLOOKUP(F44,'Soil profile'!$A$16:$D$18,4,)</f>
        <v>12.6</v>
      </c>
      <c r="I44" s="6">
        <f>VLOOKUP(F44,'Soil profile'!$A$16:$D$18,3,)</f>
        <v>12</v>
      </c>
      <c r="J44" s="3">
        <f>K44/1000+L44/1000*VLOOKUP($E44,'Soil profile'!$A$16:$F$19,COLUMNS('Soil profile'!$A$16:$E$16),)/VLOOKUP($E44,'Soil profile'!$A$16:$F$19,COLUMNS('Soil profile'!$A$16:$F$16),)</f>
        <v>0.18042300000000006</v>
      </c>
      <c r="K44" s="3">
        <f>IF(B44&gt;Ztop1,NA(),IF(A44=1,'Soil profile'!$B$26,K43+I44*(B43-MIN(B43,MAX(Zphreatic,B44)))+H44*(MIN(B43,MAX(Zphreatic,B44))-B44)))</f>
        <v>53.280000000000037</v>
      </c>
      <c r="L44" s="10">
        <f>VLOOKUP(F44,'Soil profile'!$A$16:$H$19,COLUMNS('Soil profile'!$A$16:$G$16),)+VLOOKUP(F44,'Soil profile'!$A$16:$H$19,COLUMNS('Soil profile'!$A$16:$H$16),)*(G44-B44)</f>
        <v>7.4790000000000001</v>
      </c>
      <c r="M44" s="10">
        <f>VLOOKUP($E44,'Soil profile'!$A$16:$F$19,COLUMNS('Soil profile'!$A$16:$F$16),)*(C44*1000+D44*1000*(1-a)-K44)/VLOOKUP($E44,'Soil profile'!$A$16:$F$19,COLUMNS('Soil profile'!$A$16:$E$16),)</f>
        <v>7.4789999999999983</v>
      </c>
      <c r="N44" s="35">
        <f t="shared" si="2"/>
        <v>2.2204460492503131E-14</v>
      </c>
      <c r="O44" s="20">
        <f t="shared" si="3"/>
        <v>44</v>
      </c>
      <c r="P44" s="20">
        <f t="shared" si="4"/>
        <v>42</v>
      </c>
    </row>
    <row r="45" spans="1:16" ht="15" thickBot="1" x14ac:dyDescent="0.35">
      <c r="A45" s="3">
        <f t="shared" si="5"/>
        <v>35</v>
      </c>
      <c r="B45" s="4">
        <f t="shared" si="6"/>
        <v>-4.4000000000000004</v>
      </c>
      <c r="C45" s="25">
        <f t="shared" si="7"/>
        <v>0.17228299999999999</v>
      </c>
      <c r="D45" s="14">
        <f t="shared" si="8"/>
        <v>2.35E-2</v>
      </c>
      <c r="E45" s="6">
        <f>VLOOKUP($B45,'Soil profile'!$M$15:$N$18,2,TRUE)-1</f>
        <v>2</v>
      </c>
      <c r="F45" s="6">
        <f>VLOOKUP($B45,'Soil profile'!$M$15:$N$18,2,TRUE)-1</f>
        <v>2</v>
      </c>
      <c r="G45" s="6">
        <f>IF(B46="",G44,VLOOKUP($F45,'Soil profile'!$A$16:$C$18,2,))</f>
        <v>-4</v>
      </c>
      <c r="H45" s="6">
        <f>VLOOKUP(F45,'Soil profile'!$A$16:$D$18,4,)</f>
        <v>12.6</v>
      </c>
      <c r="I45" s="6">
        <f>VLOOKUP(F45,'Soil profile'!$A$16:$D$18,3,)</f>
        <v>12</v>
      </c>
      <c r="J45" s="3">
        <f>K45/1000+L45/1000*VLOOKUP($E45,'Soil profile'!$A$16:$F$19,COLUMNS('Soil profile'!$A$16:$E$16),)/VLOOKUP($E45,'Soil profile'!$A$16:$F$19,COLUMNS('Soil profile'!$A$16:$F$16),)</f>
        <v>0.18168300000000004</v>
      </c>
      <c r="K45" s="3">
        <f>IF(B45&gt;Ztop1,NA(),IF(A45=1,'Soil profile'!$B$26,K44+I45*(B44-MIN(B44,MAX(Zphreatic,B45)))+H45*(MIN(B44,MAX(Zphreatic,B45))-B45)))</f>
        <v>54.540000000000042</v>
      </c>
      <c r="L45" s="10">
        <f>VLOOKUP(F45,'Soil profile'!$A$16:$H$19,COLUMNS('Soil profile'!$A$16:$G$16),)+VLOOKUP(F45,'Soil profile'!$A$16:$H$19,COLUMNS('Soil profile'!$A$16:$H$16),)*(G45-B45)</f>
        <v>7.4790000000000001</v>
      </c>
      <c r="M45" s="10">
        <f>VLOOKUP($E45,'Soil profile'!$A$16:$F$19,COLUMNS('Soil profile'!$A$16:$F$16),)*(C45*1000+D45*1000*(1-a)-K45)/VLOOKUP($E45,'Soil profile'!$A$16:$F$19,COLUMNS('Soil profile'!$A$16:$E$16),)</f>
        <v>7.4789999999999965</v>
      </c>
      <c r="N45" s="35">
        <f t="shared" si="2"/>
        <v>4.4408920985006262E-14</v>
      </c>
      <c r="O45" s="20">
        <f t="shared" si="3"/>
        <v>45</v>
      </c>
      <c r="P45" s="20">
        <f t="shared" si="4"/>
        <v>42</v>
      </c>
    </row>
    <row r="46" spans="1:16" ht="15" thickBot="1" x14ac:dyDescent="0.35">
      <c r="A46" s="3">
        <f t="shared" si="5"/>
        <v>36</v>
      </c>
      <c r="B46" s="4">
        <f t="shared" si="6"/>
        <v>-4.5</v>
      </c>
      <c r="C46" s="25">
        <f t="shared" si="7"/>
        <v>0.17314299999999999</v>
      </c>
      <c r="D46" s="14">
        <f t="shared" si="8"/>
        <v>2.4500000000000001E-2</v>
      </c>
      <c r="E46" s="6">
        <f>VLOOKUP($B46,'Soil profile'!$M$15:$N$18,2,TRUE)-1</f>
        <v>2</v>
      </c>
      <c r="F46" s="6">
        <f>VLOOKUP($B46,'Soil profile'!$M$15:$N$18,2,TRUE)-1</f>
        <v>2</v>
      </c>
      <c r="G46" s="6">
        <f>IF(B47="",G45,VLOOKUP($F46,'Soil profile'!$A$16:$C$18,2,))</f>
        <v>-4</v>
      </c>
      <c r="H46" s="6">
        <f>VLOOKUP(F46,'Soil profile'!$A$16:$D$18,4,)</f>
        <v>12.6</v>
      </c>
      <c r="I46" s="6">
        <f>VLOOKUP(F46,'Soil profile'!$A$16:$D$18,3,)</f>
        <v>12</v>
      </c>
      <c r="J46" s="3">
        <f>K46/1000+L46/1000*VLOOKUP($E46,'Soil profile'!$A$16:$F$19,COLUMNS('Soil profile'!$A$16:$E$16),)/VLOOKUP($E46,'Soil profile'!$A$16:$F$19,COLUMNS('Soil profile'!$A$16:$F$16),)</f>
        <v>0.18294300000000005</v>
      </c>
      <c r="K46" s="3">
        <f>IF(B46&gt;Ztop1,NA(),IF(A46=1,'Soil profile'!$B$26,K45+I46*(B45-MIN(B45,MAX(Zphreatic,B46)))+H46*(MIN(B45,MAX(Zphreatic,B46))-B46)))</f>
        <v>55.80000000000004</v>
      </c>
      <c r="L46" s="10">
        <f>VLOOKUP(F46,'Soil profile'!$A$16:$H$19,COLUMNS('Soil profile'!$A$16:$G$16),)+VLOOKUP(F46,'Soil profile'!$A$16:$H$19,COLUMNS('Soil profile'!$A$16:$H$16),)*(G46-B46)</f>
        <v>7.4790000000000001</v>
      </c>
      <c r="M46" s="10">
        <f>VLOOKUP($E46,'Soil profile'!$A$16:$F$19,COLUMNS('Soil profile'!$A$16:$F$16),)*(C46*1000+D46*1000*(1-a)-K46)/VLOOKUP($E46,'Soil profile'!$A$16:$F$19,COLUMNS('Soil profile'!$A$16:$E$16),)</f>
        <v>7.4789999999999983</v>
      </c>
      <c r="N46" s="35">
        <f t="shared" si="2"/>
        <v>2.2204460492503131E-14</v>
      </c>
      <c r="O46" s="20">
        <f t="shared" si="3"/>
        <v>46</v>
      </c>
      <c r="P46" s="20">
        <f t="shared" si="4"/>
        <v>42</v>
      </c>
    </row>
    <row r="47" spans="1:16" ht="15" thickBot="1" x14ac:dyDescent="0.35">
      <c r="A47" s="3">
        <f t="shared" si="5"/>
        <v>37</v>
      </c>
      <c r="B47" s="4">
        <f t="shared" si="6"/>
        <v>-4.5999999999999996</v>
      </c>
      <c r="C47" s="25">
        <f t="shared" si="7"/>
        <v>0.17400299999999999</v>
      </c>
      <c r="D47" s="14">
        <f t="shared" si="8"/>
        <v>2.5499999999999998E-2</v>
      </c>
      <c r="E47" s="6">
        <f>VLOOKUP($B47,'Soil profile'!$M$15:$N$18,2,TRUE)-1</f>
        <v>2</v>
      </c>
      <c r="F47" s="6">
        <f>VLOOKUP($B47,'Soil profile'!$M$15:$N$18,2,TRUE)-1</f>
        <v>2</v>
      </c>
      <c r="G47" s="6">
        <f>IF(B48="",G46,VLOOKUP($F47,'Soil profile'!$A$16:$C$18,2,))</f>
        <v>-4</v>
      </c>
      <c r="H47" s="6">
        <f>VLOOKUP(F47,'Soil profile'!$A$16:$D$18,4,)</f>
        <v>12.6</v>
      </c>
      <c r="I47" s="6">
        <f>VLOOKUP(F47,'Soil profile'!$A$16:$D$18,3,)</f>
        <v>12</v>
      </c>
      <c r="J47" s="3">
        <f>K47/1000+L47/1000*VLOOKUP($E47,'Soil profile'!$A$16:$F$19,COLUMNS('Soil profile'!$A$16:$E$16),)/VLOOKUP($E47,'Soil profile'!$A$16:$F$19,COLUMNS('Soil profile'!$A$16:$F$16),)</f>
        <v>0.18420300000000006</v>
      </c>
      <c r="K47" s="3">
        <f>IF(B47&gt;Ztop1,NA(),IF(A47=1,'Soil profile'!$B$26,K46+I47*(B46-MIN(B46,MAX(Zphreatic,B47)))+H47*(MIN(B46,MAX(Zphreatic,B47))-B47)))</f>
        <v>57.060000000000038</v>
      </c>
      <c r="L47" s="10">
        <f>VLOOKUP(F47,'Soil profile'!$A$16:$H$19,COLUMNS('Soil profile'!$A$16:$G$16),)+VLOOKUP(F47,'Soil profile'!$A$16:$H$19,COLUMNS('Soil profile'!$A$16:$H$16),)*(G47-B47)</f>
        <v>7.4790000000000001</v>
      </c>
      <c r="M47" s="10">
        <f>VLOOKUP($E47,'Soil profile'!$A$16:$F$19,COLUMNS('Soil profile'!$A$16:$F$16),)*(C47*1000+D47*1000*(1-a)-K47)/VLOOKUP($E47,'Soil profile'!$A$16:$F$19,COLUMNS('Soil profile'!$A$16:$E$16),)</f>
        <v>7.4789999999999965</v>
      </c>
      <c r="N47" s="35">
        <f t="shared" si="2"/>
        <v>4.4408920985006262E-14</v>
      </c>
      <c r="O47" s="20">
        <f t="shared" si="3"/>
        <v>47</v>
      </c>
      <c r="P47" s="20">
        <f t="shared" si="4"/>
        <v>42</v>
      </c>
    </row>
    <row r="48" spans="1:16" ht="15" thickBot="1" x14ac:dyDescent="0.35">
      <c r="A48" s="3">
        <f t="shared" si="5"/>
        <v>38</v>
      </c>
      <c r="B48" s="4">
        <f t="shared" si="6"/>
        <v>-4.7</v>
      </c>
      <c r="C48" s="25">
        <f t="shared" si="7"/>
        <v>0.17486299999999999</v>
      </c>
      <c r="D48" s="14">
        <f t="shared" si="8"/>
        <v>2.6499999999999999E-2</v>
      </c>
      <c r="E48" s="6">
        <f>VLOOKUP($B48,'Soil profile'!$M$15:$N$18,2,TRUE)-1</f>
        <v>2</v>
      </c>
      <c r="F48" s="6">
        <f>VLOOKUP($B48,'Soil profile'!$M$15:$N$18,2,TRUE)-1</f>
        <v>2</v>
      </c>
      <c r="G48" s="6">
        <f>IF(B49="",G47,VLOOKUP($F48,'Soil profile'!$A$16:$C$18,2,))</f>
        <v>-4</v>
      </c>
      <c r="H48" s="6">
        <f>VLOOKUP(F48,'Soil profile'!$A$16:$D$18,4,)</f>
        <v>12.6</v>
      </c>
      <c r="I48" s="6">
        <f>VLOOKUP(F48,'Soil profile'!$A$16:$D$18,3,)</f>
        <v>12</v>
      </c>
      <c r="J48" s="3">
        <f>K48/1000+L48/1000*VLOOKUP($E48,'Soil profile'!$A$16:$F$19,COLUMNS('Soil profile'!$A$16:$E$16),)/VLOOKUP($E48,'Soil profile'!$A$16:$F$19,COLUMNS('Soil profile'!$A$16:$F$16),)</f>
        <v>0.18546300000000004</v>
      </c>
      <c r="K48" s="3">
        <f>IF(B48&gt;Ztop1,NA(),IF(A48=1,'Soil profile'!$B$26,K47+I48*(B47-MIN(B47,MAX(Zphreatic,B48)))+H48*(MIN(B47,MAX(Zphreatic,B48))-B48)))</f>
        <v>58.320000000000043</v>
      </c>
      <c r="L48" s="10">
        <f>VLOOKUP(F48,'Soil profile'!$A$16:$H$19,COLUMNS('Soil profile'!$A$16:$G$16),)+VLOOKUP(F48,'Soil profile'!$A$16:$H$19,COLUMNS('Soil profile'!$A$16:$H$16),)*(G48-B48)</f>
        <v>7.4790000000000001</v>
      </c>
      <c r="M48" s="10">
        <f>VLOOKUP($E48,'Soil profile'!$A$16:$F$19,COLUMNS('Soil profile'!$A$16:$F$16),)*(C48*1000+D48*1000*(1-a)-K48)/VLOOKUP($E48,'Soil profile'!$A$16:$F$19,COLUMNS('Soil profile'!$A$16:$E$16),)</f>
        <v>7.4789999999999965</v>
      </c>
      <c r="N48" s="35">
        <f t="shared" si="2"/>
        <v>4.4408920985006262E-14</v>
      </c>
      <c r="O48" s="20">
        <f t="shared" si="3"/>
        <v>48</v>
      </c>
      <c r="P48" s="20">
        <f t="shared" si="4"/>
        <v>42</v>
      </c>
    </row>
    <row r="49" spans="1:16" ht="15" thickBot="1" x14ac:dyDescent="0.35">
      <c r="A49" s="3">
        <f t="shared" si="5"/>
        <v>39</v>
      </c>
      <c r="B49" s="4">
        <f t="shared" si="6"/>
        <v>-4.8</v>
      </c>
      <c r="C49" s="25">
        <f t="shared" si="7"/>
        <v>0.17572299999999999</v>
      </c>
      <c r="D49" s="14">
        <f t="shared" si="8"/>
        <v>2.75E-2</v>
      </c>
      <c r="E49" s="6">
        <f>VLOOKUP($B49,'Soil profile'!$M$15:$N$18,2,TRUE)-1</f>
        <v>2</v>
      </c>
      <c r="F49" s="6">
        <f>VLOOKUP($B49,'Soil profile'!$M$15:$N$18,2,TRUE)-1</f>
        <v>2</v>
      </c>
      <c r="G49" s="6">
        <f>IF(B50="",G48,VLOOKUP($F49,'Soil profile'!$A$16:$C$18,2,))</f>
        <v>-4</v>
      </c>
      <c r="H49" s="6">
        <f>VLOOKUP(F49,'Soil profile'!$A$16:$D$18,4,)</f>
        <v>12.6</v>
      </c>
      <c r="I49" s="6">
        <f>VLOOKUP(F49,'Soil profile'!$A$16:$D$18,3,)</f>
        <v>12</v>
      </c>
      <c r="J49" s="3">
        <f>K49/1000+L49/1000*VLOOKUP($E49,'Soil profile'!$A$16:$F$19,COLUMNS('Soil profile'!$A$16:$E$16),)/VLOOKUP($E49,'Soil profile'!$A$16:$F$19,COLUMNS('Soil profile'!$A$16:$F$16),)</f>
        <v>0.18672300000000006</v>
      </c>
      <c r="K49" s="3">
        <f>IF(B49&gt;Ztop1,NA(),IF(A49=1,'Soil profile'!$B$26,K48+I49*(B48-MIN(B48,MAX(Zphreatic,B49)))+H49*(MIN(B48,MAX(Zphreatic,B49))-B49)))</f>
        <v>59.580000000000041</v>
      </c>
      <c r="L49" s="10">
        <f>VLOOKUP(F49,'Soil profile'!$A$16:$H$19,COLUMNS('Soil profile'!$A$16:$G$16),)+VLOOKUP(F49,'Soil profile'!$A$16:$H$19,COLUMNS('Soil profile'!$A$16:$H$16),)*(G49-B49)</f>
        <v>7.4790000000000001</v>
      </c>
      <c r="M49" s="10">
        <f>VLOOKUP($E49,'Soil profile'!$A$16:$F$19,COLUMNS('Soil profile'!$A$16:$F$16),)*(C49*1000+D49*1000*(1-a)-K49)/VLOOKUP($E49,'Soil profile'!$A$16:$F$19,COLUMNS('Soil profile'!$A$16:$E$16),)</f>
        <v>7.4789999999999965</v>
      </c>
      <c r="N49" s="35">
        <f t="shared" si="2"/>
        <v>4.4408920985006262E-14</v>
      </c>
      <c r="O49" s="20">
        <f t="shared" si="3"/>
        <v>49</v>
      </c>
      <c r="P49" s="20">
        <f t="shared" si="4"/>
        <v>42</v>
      </c>
    </row>
    <row r="50" spans="1:16" ht="15" thickBot="1" x14ac:dyDescent="0.35">
      <c r="A50" s="3">
        <f t="shared" si="5"/>
        <v>40</v>
      </c>
      <c r="B50" s="4">
        <f t="shared" si="6"/>
        <v>-4.9000000000000004</v>
      </c>
      <c r="C50" s="25">
        <f t="shared" si="7"/>
        <v>0.176623</v>
      </c>
      <c r="D50" s="14">
        <f t="shared" si="8"/>
        <v>2.8400000000000002E-2</v>
      </c>
      <c r="E50" s="6">
        <f>VLOOKUP($B50,'Soil profile'!$M$15:$N$18,2,TRUE)-1</f>
        <v>2</v>
      </c>
      <c r="F50" s="6">
        <f>VLOOKUP($B50,'Soil profile'!$M$15:$N$18,2,TRUE)-1</f>
        <v>2</v>
      </c>
      <c r="G50" s="6">
        <f>IF(B51="",G49,VLOOKUP($F50,'Soil profile'!$A$16:$C$18,2,))</f>
        <v>-4</v>
      </c>
      <c r="H50" s="6">
        <f>VLOOKUP(F50,'Soil profile'!$A$16:$D$18,4,)</f>
        <v>12.6</v>
      </c>
      <c r="I50" s="6">
        <f>VLOOKUP(F50,'Soil profile'!$A$16:$D$18,3,)</f>
        <v>12</v>
      </c>
      <c r="J50" s="3">
        <f>K50/1000+L50/1000*VLOOKUP($E50,'Soil profile'!$A$16:$F$19,COLUMNS('Soil profile'!$A$16:$E$16),)/VLOOKUP($E50,'Soil profile'!$A$16:$F$19,COLUMNS('Soil profile'!$A$16:$F$16),)</f>
        <v>0.18798300000000007</v>
      </c>
      <c r="K50" s="3">
        <f>IF(B50&gt;Ztop1,NA(),IF(A50=1,'Soil profile'!$B$26,K49+I50*(B49-MIN(B49,MAX(Zphreatic,B50)))+H50*(MIN(B49,MAX(Zphreatic,B50))-B50)))</f>
        <v>60.840000000000046</v>
      </c>
      <c r="L50" s="10">
        <f>VLOOKUP(F50,'Soil profile'!$A$16:$H$19,COLUMNS('Soil profile'!$A$16:$G$16),)+VLOOKUP(F50,'Soil profile'!$A$16:$H$19,COLUMNS('Soil profile'!$A$16:$H$16),)*(G50-B50)</f>
        <v>7.4790000000000001</v>
      </c>
      <c r="M50" s="10">
        <f>VLOOKUP($E50,'Soil profile'!$A$16:$F$19,COLUMNS('Soil profile'!$A$16:$F$16),)*(C50*1000+D50*1000*(1-a)-K50)/VLOOKUP($E50,'Soil profile'!$A$16:$F$19,COLUMNS('Soil profile'!$A$16:$E$16),)</f>
        <v>7.4789999999999974</v>
      </c>
      <c r="N50" s="35">
        <f t="shared" si="2"/>
        <v>4.4408920985006262E-14</v>
      </c>
      <c r="O50" s="20">
        <f t="shared" si="3"/>
        <v>50</v>
      </c>
      <c r="P50" s="20">
        <f t="shared" si="4"/>
        <v>42</v>
      </c>
    </row>
    <row r="51" spans="1:16" ht="15" thickBot="1" x14ac:dyDescent="0.35">
      <c r="A51" s="3">
        <f t="shared" ref="A51:A76" si="9">A50+1</f>
        <v>41</v>
      </c>
      <c r="B51" s="4">
        <f t="shared" si="6"/>
        <v>-5</v>
      </c>
      <c r="C51" s="25">
        <f t="shared" si="7"/>
        <v>0.177483</v>
      </c>
      <c r="D51" s="14">
        <f t="shared" si="8"/>
        <v>2.9399999999999999E-2</v>
      </c>
      <c r="E51" s="6">
        <f>VLOOKUP($B51,'Soil profile'!$M$15:$N$18,2,TRUE)-1</f>
        <v>2</v>
      </c>
      <c r="F51" s="6">
        <f>VLOOKUP($B51,'Soil profile'!$M$15:$N$18,2,TRUE)-1</f>
        <v>2</v>
      </c>
      <c r="G51" s="6">
        <f>IF(B52="",G50,VLOOKUP($F51,'Soil profile'!$A$16:$C$18,2,))</f>
        <v>-4</v>
      </c>
      <c r="H51" s="6">
        <f>VLOOKUP(F51,'Soil profile'!$A$16:$D$18,4,)</f>
        <v>12.6</v>
      </c>
      <c r="I51" s="6">
        <f>VLOOKUP(F51,'Soil profile'!$A$16:$D$18,3,)</f>
        <v>12</v>
      </c>
      <c r="J51" s="3">
        <f>K51/1000+L51/1000*VLOOKUP($E51,'Soil profile'!$A$16:$F$19,COLUMNS('Soil profile'!$A$16:$E$16),)/VLOOKUP($E51,'Soil profile'!$A$16:$F$19,COLUMNS('Soil profile'!$A$16:$F$16),)</f>
        <v>0.18924300000000005</v>
      </c>
      <c r="K51" s="3">
        <f>IF(B51&gt;Ztop1,NA(),IF(A51=1,'Soil profile'!$B$26,K50+I51*(B50-MIN(B50,MAX(Zphreatic,B51)))+H51*(MIN(B50,MAX(Zphreatic,B51))-B51)))</f>
        <v>62.100000000000044</v>
      </c>
      <c r="L51" s="10">
        <f>VLOOKUP(F51,'Soil profile'!$A$16:$H$19,COLUMNS('Soil profile'!$A$16:$G$16),)+VLOOKUP(F51,'Soil profile'!$A$16:$H$19,COLUMNS('Soil profile'!$A$16:$H$16),)*(G51-B51)</f>
        <v>7.4790000000000001</v>
      </c>
      <c r="M51" s="10">
        <f>VLOOKUP($E51,'Soil profile'!$A$16:$F$19,COLUMNS('Soil profile'!$A$16:$F$16),)*(C51*1000+D51*1000*(1-a)-K51)/VLOOKUP($E51,'Soil profile'!$A$16:$F$19,COLUMNS('Soil profile'!$A$16:$E$16),)</f>
        <v>7.4789999999999965</v>
      </c>
      <c r="N51" s="35">
        <f t="shared" si="2"/>
        <v>4.4408920985006262E-14</v>
      </c>
      <c r="O51" s="20">
        <f t="shared" si="3"/>
        <v>51</v>
      </c>
      <c r="P51" s="20">
        <f t="shared" si="4"/>
        <v>42</v>
      </c>
    </row>
    <row r="52" spans="1:16" ht="15" thickBot="1" x14ac:dyDescent="0.35">
      <c r="A52" s="3">
        <f t="shared" si="9"/>
        <v>42</v>
      </c>
      <c r="B52" s="4">
        <f t="shared" si="6"/>
        <v>-5.0999999999999996</v>
      </c>
      <c r="C52" s="25">
        <f t="shared" si="7"/>
        <v>0.178343</v>
      </c>
      <c r="D52" s="14">
        <f t="shared" si="8"/>
        <v>3.04E-2</v>
      </c>
      <c r="E52" s="6">
        <f>VLOOKUP($B52,'Soil profile'!$M$15:$N$18,2,TRUE)-1</f>
        <v>2</v>
      </c>
      <c r="F52" s="6">
        <f>VLOOKUP($B52,'Soil profile'!$M$15:$N$18,2,TRUE)-1</f>
        <v>2</v>
      </c>
      <c r="G52" s="6">
        <f>IF(B53="",G51,VLOOKUP($F52,'Soil profile'!$A$16:$C$18,2,))</f>
        <v>-4</v>
      </c>
      <c r="H52" s="6">
        <f>VLOOKUP(F52,'Soil profile'!$A$16:$D$18,4,)</f>
        <v>12.6</v>
      </c>
      <c r="I52" s="6">
        <f>VLOOKUP(F52,'Soil profile'!$A$16:$D$18,3,)</f>
        <v>12</v>
      </c>
      <c r="J52" s="3">
        <f>K52/1000+L52/1000*VLOOKUP($E52,'Soil profile'!$A$16:$F$19,COLUMNS('Soil profile'!$A$16:$E$16),)/VLOOKUP($E52,'Soil profile'!$A$16:$F$19,COLUMNS('Soil profile'!$A$16:$F$16),)</f>
        <v>0.19050300000000003</v>
      </c>
      <c r="K52" s="3">
        <f>IF(B52&gt;Ztop1,NA(),IF(A52=1,'Soil profile'!$B$26,K51+I52*(B51-MIN(B51,MAX(Zphreatic,B52)))+H52*(MIN(B51,MAX(Zphreatic,B52))-B52)))</f>
        <v>63.360000000000042</v>
      </c>
      <c r="L52" s="10">
        <f>VLOOKUP(F52,'Soil profile'!$A$16:$H$19,COLUMNS('Soil profile'!$A$16:$G$16),)+VLOOKUP(F52,'Soil profile'!$A$16:$H$19,COLUMNS('Soil profile'!$A$16:$H$16),)*(G52-B52)</f>
        <v>7.4790000000000001</v>
      </c>
      <c r="M52" s="10">
        <f>VLOOKUP($E52,'Soil profile'!$A$16:$F$19,COLUMNS('Soil profile'!$A$16:$F$16),)*(C52*1000+D52*1000*(1-a)-K52)/VLOOKUP($E52,'Soil profile'!$A$16:$F$19,COLUMNS('Soil profile'!$A$16:$E$16),)</f>
        <v>7.4789999999999965</v>
      </c>
      <c r="N52" s="35">
        <f t="shared" si="2"/>
        <v>4.4408920985006262E-14</v>
      </c>
      <c r="O52" s="20">
        <f t="shared" si="3"/>
        <v>52</v>
      </c>
      <c r="P52" s="20">
        <f t="shared" si="4"/>
        <v>42</v>
      </c>
    </row>
    <row r="53" spans="1:16" ht="15" thickBot="1" x14ac:dyDescent="0.35">
      <c r="A53" s="3">
        <f t="shared" si="9"/>
        <v>43</v>
      </c>
      <c r="B53" s="4">
        <f t="shared" si="6"/>
        <v>-5.2</v>
      </c>
      <c r="C53" s="25">
        <f t="shared" si="7"/>
        <v>0.179203</v>
      </c>
      <c r="D53" s="14">
        <f t="shared" si="8"/>
        <v>3.1399999999999997E-2</v>
      </c>
      <c r="E53" s="6">
        <f>VLOOKUP($B53,'Soil profile'!$M$15:$N$18,2,TRUE)-1</f>
        <v>2</v>
      </c>
      <c r="F53" s="6">
        <f>VLOOKUP($B53,'Soil profile'!$M$15:$N$18,2,TRUE)-1</f>
        <v>2</v>
      </c>
      <c r="G53" s="6">
        <f>IF(B54="",G52,VLOOKUP($F53,'Soil profile'!$A$16:$C$18,2,))</f>
        <v>-4</v>
      </c>
      <c r="H53" s="6">
        <f>VLOOKUP(F53,'Soil profile'!$A$16:$D$18,4,)</f>
        <v>12.6</v>
      </c>
      <c r="I53" s="6">
        <f>VLOOKUP(F53,'Soil profile'!$A$16:$D$18,3,)</f>
        <v>12</v>
      </c>
      <c r="J53" s="3">
        <f>K53/1000+L53/1000*VLOOKUP($E53,'Soil profile'!$A$16:$F$19,COLUMNS('Soil profile'!$A$16:$E$16),)/VLOOKUP($E53,'Soil profile'!$A$16:$F$19,COLUMNS('Soil profile'!$A$16:$F$16),)</f>
        <v>0.19176300000000007</v>
      </c>
      <c r="K53" s="3">
        <f>IF(B53&gt;Ztop1,NA(),IF(A53=1,'Soil profile'!$B$26,K52+I53*(B52-MIN(B52,MAX(Zphreatic,B53)))+H53*(MIN(B52,MAX(Zphreatic,B53))-B53)))</f>
        <v>64.620000000000047</v>
      </c>
      <c r="L53" s="10">
        <f>VLOOKUP(F53,'Soil profile'!$A$16:$H$19,COLUMNS('Soil profile'!$A$16:$G$16),)+VLOOKUP(F53,'Soil profile'!$A$16:$H$19,COLUMNS('Soil profile'!$A$16:$H$16),)*(G53-B53)</f>
        <v>7.4790000000000001</v>
      </c>
      <c r="M53" s="10">
        <f>VLOOKUP($E53,'Soil profile'!$A$16:$F$19,COLUMNS('Soil profile'!$A$16:$F$16),)*(C53*1000+D53*1000*(1-a)-K53)/VLOOKUP($E53,'Soil profile'!$A$16:$F$19,COLUMNS('Soil profile'!$A$16:$E$16),)</f>
        <v>7.4789999999999974</v>
      </c>
      <c r="N53" s="35">
        <f t="shared" si="2"/>
        <v>4.4408920985006262E-14</v>
      </c>
      <c r="O53" s="20">
        <f t="shared" si="3"/>
        <v>53</v>
      </c>
      <c r="P53" s="20">
        <f t="shared" si="4"/>
        <v>42</v>
      </c>
    </row>
    <row r="54" spans="1:16" ht="15" thickBot="1" x14ac:dyDescent="0.35">
      <c r="A54" s="3">
        <f t="shared" si="9"/>
        <v>44</v>
      </c>
      <c r="B54" s="4">
        <f t="shared" si="6"/>
        <v>-5.3</v>
      </c>
      <c r="C54" s="25">
        <f t="shared" si="7"/>
        <v>0.180063</v>
      </c>
      <c r="D54" s="14">
        <f t="shared" si="8"/>
        <v>3.2399999999999998E-2</v>
      </c>
      <c r="E54" s="6">
        <f>VLOOKUP($B54,'Soil profile'!$M$15:$N$18,2,TRUE)-1</f>
        <v>2</v>
      </c>
      <c r="F54" s="6">
        <f>VLOOKUP($B54,'Soil profile'!$M$15:$N$18,2,TRUE)-1</f>
        <v>2</v>
      </c>
      <c r="G54" s="6">
        <f>IF(B55="",G53,VLOOKUP($F54,'Soil profile'!$A$16:$C$18,2,))</f>
        <v>-4</v>
      </c>
      <c r="H54" s="6">
        <f>VLOOKUP(F54,'Soil profile'!$A$16:$D$18,4,)</f>
        <v>12.6</v>
      </c>
      <c r="I54" s="6">
        <f>VLOOKUP(F54,'Soil profile'!$A$16:$D$18,3,)</f>
        <v>12</v>
      </c>
      <c r="J54" s="3">
        <f>K54/1000+L54/1000*VLOOKUP($E54,'Soil profile'!$A$16:$F$19,COLUMNS('Soil profile'!$A$16:$E$16),)/VLOOKUP($E54,'Soil profile'!$A$16:$F$19,COLUMNS('Soil profile'!$A$16:$F$16),)</f>
        <v>0.19302300000000006</v>
      </c>
      <c r="K54" s="3">
        <f>IF(B54&gt;Ztop1,NA(),IF(A54=1,'Soil profile'!$B$26,K53+I54*(B53-MIN(B53,MAX(Zphreatic,B54)))+H54*(MIN(B53,MAX(Zphreatic,B54))-B54)))</f>
        <v>65.880000000000038</v>
      </c>
      <c r="L54" s="10">
        <f>VLOOKUP(F54,'Soil profile'!$A$16:$H$19,COLUMNS('Soil profile'!$A$16:$G$16),)+VLOOKUP(F54,'Soil profile'!$A$16:$H$19,COLUMNS('Soil profile'!$A$16:$H$16),)*(G54-B54)</f>
        <v>7.4790000000000001</v>
      </c>
      <c r="M54" s="10">
        <f>VLOOKUP($E54,'Soil profile'!$A$16:$F$19,COLUMNS('Soil profile'!$A$16:$F$16),)*(C54*1000+D54*1000*(1-a)-K54)/VLOOKUP($E54,'Soil profile'!$A$16:$F$19,COLUMNS('Soil profile'!$A$16:$E$16),)</f>
        <v>7.4789999999999974</v>
      </c>
      <c r="N54" s="35">
        <f t="shared" si="2"/>
        <v>4.4408920985006262E-14</v>
      </c>
      <c r="O54" s="20">
        <f t="shared" si="3"/>
        <v>54</v>
      </c>
      <c r="P54" s="20">
        <f t="shared" si="4"/>
        <v>42</v>
      </c>
    </row>
    <row r="55" spans="1:16" ht="15" thickBot="1" x14ac:dyDescent="0.35">
      <c r="A55" s="3">
        <f t="shared" si="9"/>
        <v>45</v>
      </c>
      <c r="B55" s="4">
        <f t="shared" si="6"/>
        <v>-5.4</v>
      </c>
      <c r="C55" s="25">
        <f t="shared" si="7"/>
        <v>0.180923</v>
      </c>
      <c r="D55" s="14">
        <f t="shared" si="8"/>
        <v>3.3399999999999999E-2</v>
      </c>
      <c r="E55" s="6">
        <f>VLOOKUP($B55,'Soil profile'!$M$15:$N$18,2,TRUE)-1</f>
        <v>2</v>
      </c>
      <c r="F55" s="6">
        <f>VLOOKUP($B55,'Soil profile'!$M$15:$N$18,2,TRUE)-1</f>
        <v>2</v>
      </c>
      <c r="G55" s="6">
        <f>IF(B56="",G54,VLOOKUP($F55,'Soil profile'!$A$16:$C$18,2,))</f>
        <v>-4</v>
      </c>
      <c r="H55" s="6">
        <f>VLOOKUP(F55,'Soil profile'!$A$16:$D$18,4,)</f>
        <v>12.6</v>
      </c>
      <c r="I55" s="6">
        <f>VLOOKUP(F55,'Soil profile'!$A$16:$D$18,3,)</f>
        <v>12</v>
      </c>
      <c r="J55" s="3">
        <f>K55/1000+L55/1000*VLOOKUP($E55,'Soil profile'!$A$16:$F$19,COLUMNS('Soil profile'!$A$16:$E$16),)/VLOOKUP($E55,'Soil profile'!$A$16:$F$19,COLUMNS('Soil profile'!$A$16:$F$16),)</f>
        <v>0.19428300000000004</v>
      </c>
      <c r="K55" s="3">
        <f>IF(B55&gt;Ztop1,NA(),IF(A55=1,'Soil profile'!$B$26,K54+I55*(B54-MIN(B54,MAX(Zphreatic,B55)))+H55*(MIN(B54,MAX(Zphreatic,B55))-B55)))</f>
        <v>67.140000000000043</v>
      </c>
      <c r="L55" s="10">
        <f>VLOOKUP(F55,'Soil profile'!$A$16:$H$19,COLUMNS('Soil profile'!$A$16:$G$16),)+VLOOKUP(F55,'Soil profile'!$A$16:$H$19,COLUMNS('Soil profile'!$A$16:$H$16),)*(G55-B55)</f>
        <v>7.4790000000000001</v>
      </c>
      <c r="M55" s="10">
        <f>VLOOKUP($E55,'Soil profile'!$A$16:$F$19,COLUMNS('Soil profile'!$A$16:$F$16),)*(C55*1000+D55*1000*(1-a)-K55)/VLOOKUP($E55,'Soil profile'!$A$16:$F$19,COLUMNS('Soil profile'!$A$16:$E$16),)</f>
        <v>7.4789999999999983</v>
      </c>
      <c r="N55" s="35">
        <f t="shared" si="2"/>
        <v>2.2204460492503131E-14</v>
      </c>
      <c r="O55" s="20">
        <f t="shared" si="3"/>
        <v>55</v>
      </c>
      <c r="P55" s="20">
        <f t="shared" si="4"/>
        <v>42</v>
      </c>
    </row>
    <row r="56" spans="1:16" ht="15" thickBot="1" x14ac:dyDescent="0.35">
      <c r="A56" s="3">
        <f t="shared" si="9"/>
        <v>46</v>
      </c>
      <c r="B56" s="4">
        <f t="shared" si="6"/>
        <v>-5.5</v>
      </c>
      <c r="C56" s="25">
        <f t="shared" si="7"/>
        <v>0.18182300000000001</v>
      </c>
      <c r="D56" s="14">
        <f t="shared" si="8"/>
        <v>3.4299999999999997E-2</v>
      </c>
      <c r="E56" s="6">
        <f>VLOOKUP($B56,'Soil profile'!$M$15:$N$18,2,TRUE)-1</f>
        <v>2</v>
      </c>
      <c r="F56" s="6">
        <f>VLOOKUP($B56,'Soil profile'!$M$15:$N$18,2,TRUE)-1</f>
        <v>2</v>
      </c>
      <c r="G56" s="6">
        <f>IF(B57="",G55,VLOOKUP($F56,'Soil profile'!$A$16:$C$18,2,))</f>
        <v>-4</v>
      </c>
      <c r="H56" s="6">
        <f>VLOOKUP(F56,'Soil profile'!$A$16:$D$18,4,)</f>
        <v>12.6</v>
      </c>
      <c r="I56" s="6">
        <f>VLOOKUP(F56,'Soil profile'!$A$16:$D$18,3,)</f>
        <v>12</v>
      </c>
      <c r="J56" s="3">
        <f>K56/1000+L56/1000*VLOOKUP($E56,'Soil profile'!$A$16:$F$19,COLUMNS('Soil profile'!$A$16:$E$16),)/VLOOKUP($E56,'Soil profile'!$A$16:$F$19,COLUMNS('Soil profile'!$A$16:$F$16),)</f>
        <v>0.19554300000000002</v>
      </c>
      <c r="K56" s="3">
        <f>IF(B56&gt;Ztop1,NA(),IF(A56=1,'Soil profile'!$B$26,K55+I56*(B55-MIN(B55,MAX(Zphreatic,B56)))+H56*(MIN(B55,MAX(Zphreatic,B56))-B56)))</f>
        <v>68.400000000000034</v>
      </c>
      <c r="L56" s="10">
        <f>VLOOKUP(F56,'Soil profile'!$A$16:$H$19,COLUMNS('Soil profile'!$A$16:$G$16),)+VLOOKUP(F56,'Soil profile'!$A$16:$H$19,COLUMNS('Soil profile'!$A$16:$H$16),)*(G56-B56)</f>
        <v>7.4790000000000001</v>
      </c>
      <c r="M56" s="10">
        <f>VLOOKUP($E56,'Soil profile'!$A$16:$F$19,COLUMNS('Soil profile'!$A$16:$F$16),)*(C56*1000+D56*1000*(1-a)-K56)/VLOOKUP($E56,'Soil profile'!$A$16:$F$19,COLUMNS('Soil profile'!$A$16:$E$16),)</f>
        <v>7.4789999999999983</v>
      </c>
      <c r="N56" s="35">
        <f t="shared" si="2"/>
        <v>2.2204460492503131E-14</v>
      </c>
      <c r="O56" s="20">
        <f t="shared" si="3"/>
        <v>56</v>
      </c>
      <c r="P56" s="20">
        <f t="shared" si="4"/>
        <v>42</v>
      </c>
    </row>
    <row r="57" spans="1:16" ht="15" thickBot="1" x14ac:dyDescent="0.35">
      <c r="A57" s="3">
        <f t="shared" si="9"/>
        <v>47</v>
      </c>
      <c r="B57" s="4">
        <f t="shared" si="6"/>
        <v>-5.6</v>
      </c>
      <c r="C57" s="25">
        <f t="shared" si="7"/>
        <v>0.18268300000000001</v>
      </c>
      <c r="D57" s="14">
        <f t="shared" si="8"/>
        <v>3.5299999999999998E-2</v>
      </c>
      <c r="E57" s="6">
        <f>VLOOKUP($B57,'Soil profile'!$M$15:$N$18,2,TRUE)-1</f>
        <v>2</v>
      </c>
      <c r="F57" s="6">
        <f>VLOOKUP($B57,'Soil profile'!$M$15:$N$18,2,TRUE)-1</f>
        <v>2</v>
      </c>
      <c r="G57" s="6">
        <f>IF(B58="",G56,VLOOKUP($F57,'Soil profile'!$A$16:$C$18,2,))</f>
        <v>-4</v>
      </c>
      <c r="H57" s="6">
        <f>VLOOKUP(F57,'Soil profile'!$A$16:$D$18,4,)</f>
        <v>12.6</v>
      </c>
      <c r="I57" s="6">
        <f>VLOOKUP(F57,'Soil profile'!$A$16:$D$18,3,)</f>
        <v>12</v>
      </c>
      <c r="J57" s="3">
        <f>K57/1000+L57/1000*VLOOKUP($E57,'Soil profile'!$A$16:$F$19,COLUMNS('Soil profile'!$A$16:$E$16),)/VLOOKUP($E57,'Soil profile'!$A$16:$F$19,COLUMNS('Soil profile'!$A$16:$F$16),)</f>
        <v>0.19680300000000003</v>
      </c>
      <c r="K57" s="3">
        <f>IF(B57&gt;Ztop1,NA(),IF(A57=1,'Soil profile'!$B$26,K56+I57*(B56-MIN(B56,MAX(Zphreatic,B57)))+H57*(MIN(B56,MAX(Zphreatic,B57))-B57)))</f>
        <v>69.660000000000025</v>
      </c>
      <c r="L57" s="10">
        <f>VLOOKUP(F57,'Soil profile'!$A$16:$H$19,COLUMNS('Soil profile'!$A$16:$G$16),)+VLOOKUP(F57,'Soil profile'!$A$16:$H$19,COLUMNS('Soil profile'!$A$16:$H$16),)*(G57-B57)</f>
        <v>7.4790000000000001</v>
      </c>
      <c r="M57" s="10">
        <f>VLOOKUP($E57,'Soil profile'!$A$16:$F$19,COLUMNS('Soil profile'!$A$16:$F$16),)*(C57*1000+D57*1000*(1-a)-K57)/VLOOKUP($E57,'Soil profile'!$A$16:$F$19,COLUMNS('Soil profile'!$A$16:$E$16),)</f>
        <v>7.4790000000000001</v>
      </c>
      <c r="N57" s="35">
        <f t="shared" si="2"/>
        <v>0</v>
      </c>
      <c r="O57" s="20">
        <f t="shared" si="3"/>
        <v>57</v>
      </c>
      <c r="P57" s="20">
        <f t="shared" si="4"/>
        <v>42</v>
      </c>
    </row>
    <row r="58" spans="1:16" ht="15" thickBot="1" x14ac:dyDescent="0.35">
      <c r="A58" s="3">
        <f t="shared" si="9"/>
        <v>48</v>
      </c>
      <c r="B58" s="4">
        <f t="shared" si="6"/>
        <v>-5.7</v>
      </c>
      <c r="C58" s="25">
        <f t="shared" si="7"/>
        <v>0.18354300000000001</v>
      </c>
      <c r="D58" s="14">
        <f t="shared" si="8"/>
        <v>3.6299999999999999E-2</v>
      </c>
      <c r="E58" s="6">
        <f>VLOOKUP($B58,'Soil profile'!$M$15:$N$18,2,TRUE)-1</f>
        <v>2</v>
      </c>
      <c r="F58" s="6">
        <f>VLOOKUP($B58,'Soil profile'!$M$15:$N$18,2,TRUE)-1</f>
        <v>2</v>
      </c>
      <c r="G58" s="6">
        <f>IF(B59="",G57,VLOOKUP($F58,'Soil profile'!$A$16:$C$18,2,))</f>
        <v>-4</v>
      </c>
      <c r="H58" s="6">
        <f>VLOOKUP(F58,'Soil profile'!$A$16:$D$18,4,)</f>
        <v>12.6</v>
      </c>
      <c r="I58" s="6">
        <f>VLOOKUP(F58,'Soil profile'!$A$16:$D$18,3,)</f>
        <v>12</v>
      </c>
      <c r="J58" s="3">
        <f>K58/1000+L58/1000*VLOOKUP($E58,'Soil profile'!$A$16:$F$19,COLUMNS('Soil profile'!$A$16:$E$16),)/VLOOKUP($E58,'Soil profile'!$A$16:$F$19,COLUMNS('Soil profile'!$A$16:$F$16),)</f>
        <v>0.19806300000000004</v>
      </c>
      <c r="K58" s="3">
        <f>IF(B58&gt;Ztop1,NA(),IF(A58=1,'Soil profile'!$B$26,K57+I58*(B57-MIN(B57,MAX(Zphreatic,B58)))+H58*(MIN(B57,MAX(Zphreatic,B58))-B58)))</f>
        <v>70.92000000000003</v>
      </c>
      <c r="L58" s="10">
        <f>VLOOKUP(F58,'Soil profile'!$A$16:$H$19,COLUMNS('Soil profile'!$A$16:$G$16),)+VLOOKUP(F58,'Soil profile'!$A$16:$H$19,COLUMNS('Soil profile'!$A$16:$H$16),)*(G58-B58)</f>
        <v>7.4790000000000001</v>
      </c>
      <c r="M58" s="10">
        <f>VLOOKUP($E58,'Soil profile'!$A$16:$F$19,COLUMNS('Soil profile'!$A$16:$F$16),)*(C58*1000+D58*1000*(1-a)-K58)/VLOOKUP($E58,'Soil profile'!$A$16:$F$19,COLUMNS('Soil profile'!$A$16:$E$16),)</f>
        <v>7.4789999999999992</v>
      </c>
      <c r="N58" s="35">
        <f t="shared" si="2"/>
        <v>2.2204460492503131E-14</v>
      </c>
      <c r="O58" s="20">
        <f t="shared" si="3"/>
        <v>58</v>
      </c>
      <c r="P58" s="20">
        <f t="shared" si="4"/>
        <v>42</v>
      </c>
    </row>
    <row r="59" spans="1:16" ht="15" thickBot="1" x14ac:dyDescent="0.35">
      <c r="A59" s="3">
        <f t="shared" si="9"/>
        <v>49</v>
      </c>
      <c r="B59" s="4">
        <f t="shared" si="6"/>
        <v>-5.8</v>
      </c>
      <c r="C59" s="25">
        <f t="shared" si="7"/>
        <v>0.18440300000000001</v>
      </c>
      <c r="D59" s="14">
        <f t="shared" si="8"/>
        <v>3.73E-2</v>
      </c>
      <c r="E59" s="6">
        <f>VLOOKUP($B59,'Soil profile'!$M$15:$N$18,2,TRUE)-1</f>
        <v>2</v>
      </c>
      <c r="F59" s="6">
        <f>VLOOKUP($B59,'Soil profile'!$M$15:$N$18,2,TRUE)-1</f>
        <v>2</v>
      </c>
      <c r="G59" s="6">
        <f>IF(B60="",G58,VLOOKUP($F59,'Soil profile'!$A$16:$C$18,2,))</f>
        <v>-4</v>
      </c>
      <c r="H59" s="6">
        <f>VLOOKUP(F59,'Soil profile'!$A$16:$D$18,4,)</f>
        <v>12.6</v>
      </c>
      <c r="I59" s="6">
        <f>VLOOKUP(F59,'Soil profile'!$A$16:$D$18,3,)</f>
        <v>12</v>
      </c>
      <c r="J59" s="3">
        <f>K59/1000+L59/1000*VLOOKUP($E59,'Soil profile'!$A$16:$F$19,COLUMNS('Soil profile'!$A$16:$E$16),)/VLOOKUP($E59,'Soil profile'!$A$16:$F$19,COLUMNS('Soil profile'!$A$16:$F$16),)</f>
        <v>0.19932300000000003</v>
      </c>
      <c r="K59" s="3">
        <f>IF(B59&gt;Ztop1,NA(),IF(A59=1,'Soil profile'!$B$26,K58+I59*(B58-MIN(B58,MAX(Zphreatic,B59)))+H59*(MIN(B58,MAX(Zphreatic,B59))-B59)))</f>
        <v>72.180000000000021</v>
      </c>
      <c r="L59" s="10">
        <f>VLOOKUP(F59,'Soil profile'!$A$16:$H$19,COLUMNS('Soil profile'!$A$16:$G$16),)+VLOOKUP(F59,'Soil profile'!$A$16:$H$19,COLUMNS('Soil profile'!$A$16:$H$16),)*(G59-B59)</f>
        <v>7.4790000000000001</v>
      </c>
      <c r="M59" s="10">
        <f>VLOOKUP($E59,'Soil profile'!$A$16:$F$19,COLUMNS('Soil profile'!$A$16:$F$16),)*(C59*1000+D59*1000*(1-a)-K59)/VLOOKUP($E59,'Soil profile'!$A$16:$F$19,COLUMNS('Soil profile'!$A$16:$E$16),)</f>
        <v>7.4789999999999992</v>
      </c>
      <c r="N59" s="35">
        <f t="shared" si="2"/>
        <v>2.2204460492503131E-14</v>
      </c>
      <c r="O59" s="20">
        <f t="shared" si="3"/>
        <v>59</v>
      </c>
      <c r="P59" s="20">
        <f t="shared" si="4"/>
        <v>42</v>
      </c>
    </row>
    <row r="60" spans="1:16" ht="15" thickBot="1" x14ac:dyDescent="0.35">
      <c r="A60" s="3">
        <f t="shared" si="9"/>
        <v>50</v>
      </c>
      <c r="B60" s="4">
        <f t="shared" si="6"/>
        <v>-5.9</v>
      </c>
      <c r="C60" s="25">
        <f t="shared" si="7"/>
        <v>0.18526300000000001</v>
      </c>
      <c r="D60" s="14">
        <f t="shared" si="8"/>
        <v>3.8300000000000001E-2</v>
      </c>
      <c r="E60" s="6">
        <f>VLOOKUP($B60,'Soil profile'!$M$15:$N$18,2,TRUE)-1</f>
        <v>2</v>
      </c>
      <c r="F60" s="6">
        <f>VLOOKUP($B60,'Soil profile'!$M$15:$N$18,2,TRUE)-1</f>
        <v>2</v>
      </c>
      <c r="G60" s="6">
        <f>IF(B61="",G59,VLOOKUP($F60,'Soil profile'!$A$16:$C$18,2,))</f>
        <v>-4</v>
      </c>
      <c r="H60" s="6">
        <f>VLOOKUP(F60,'Soil profile'!$A$16:$D$18,4,)</f>
        <v>12.6</v>
      </c>
      <c r="I60" s="6">
        <f>VLOOKUP(F60,'Soil profile'!$A$16:$D$18,3,)</f>
        <v>12</v>
      </c>
      <c r="J60" s="3">
        <f>K60/1000+L60/1000*VLOOKUP($E60,'Soil profile'!$A$16:$F$19,COLUMNS('Soil profile'!$A$16:$E$16),)/VLOOKUP($E60,'Soil profile'!$A$16:$F$19,COLUMNS('Soil profile'!$A$16:$F$16),)</f>
        <v>0.20058300000000004</v>
      </c>
      <c r="K60" s="3">
        <f>IF(B60&gt;Ztop1,NA(),IF(A60=1,'Soil profile'!$B$26,K59+I60*(B59-MIN(B59,MAX(Zphreatic,B60)))+H60*(MIN(B59,MAX(Zphreatic,B60))-B60)))</f>
        <v>73.440000000000026</v>
      </c>
      <c r="L60" s="10">
        <f>VLOOKUP(F60,'Soil profile'!$A$16:$H$19,COLUMNS('Soil profile'!$A$16:$G$16),)+VLOOKUP(F60,'Soil profile'!$A$16:$H$19,COLUMNS('Soil profile'!$A$16:$H$16),)*(G60-B60)</f>
        <v>7.4790000000000001</v>
      </c>
      <c r="M60" s="10">
        <f>VLOOKUP($E60,'Soil profile'!$A$16:$F$19,COLUMNS('Soil profile'!$A$16:$F$16),)*(C60*1000+D60*1000*(1-a)-K60)/VLOOKUP($E60,'Soil profile'!$A$16:$F$19,COLUMNS('Soil profile'!$A$16:$E$16),)</f>
        <v>7.4789999999999983</v>
      </c>
      <c r="N60" s="35">
        <f t="shared" si="2"/>
        <v>2.2204460492503131E-14</v>
      </c>
      <c r="O60" s="20">
        <f t="shared" si="3"/>
        <v>60</v>
      </c>
      <c r="P60" s="20">
        <f t="shared" si="4"/>
        <v>42</v>
      </c>
    </row>
    <row r="61" spans="1:16" ht="15" thickBot="1" x14ac:dyDescent="0.35">
      <c r="A61" s="3">
        <f t="shared" si="9"/>
        <v>51</v>
      </c>
      <c r="B61" s="4">
        <f t="shared" si="6"/>
        <v>-6</v>
      </c>
      <c r="C61" s="25">
        <f t="shared" si="7"/>
        <v>0.186163</v>
      </c>
      <c r="D61" s="14">
        <f t="shared" si="8"/>
        <v>3.9199999999999999E-2</v>
      </c>
      <c r="E61" s="6">
        <f>VLOOKUP($B61,'Soil profile'!$M$15:$N$18,2,TRUE)-1</f>
        <v>2</v>
      </c>
      <c r="F61" s="6">
        <f>VLOOKUP($B61,'Soil profile'!$M$15:$N$18,2,TRUE)-1</f>
        <v>2</v>
      </c>
      <c r="G61" s="6">
        <f>IF(B62="",G60,VLOOKUP($F61,'Soil profile'!$A$16:$C$18,2,))</f>
        <v>-4</v>
      </c>
      <c r="H61" s="6">
        <f>VLOOKUP(F61,'Soil profile'!$A$16:$D$18,4,)</f>
        <v>12.6</v>
      </c>
      <c r="I61" s="6">
        <f>VLOOKUP(F61,'Soil profile'!$A$16:$D$18,3,)</f>
        <v>12</v>
      </c>
      <c r="J61" s="3">
        <f>K61/1000+L61/1000*VLOOKUP($E61,'Soil profile'!$A$16:$F$19,COLUMNS('Soil profile'!$A$16:$E$16),)/VLOOKUP($E61,'Soil profile'!$A$16:$F$19,COLUMNS('Soil profile'!$A$16:$F$16),)</f>
        <v>0.20184300000000002</v>
      </c>
      <c r="K61" s="3">
        <f>IF(B61&gt;Ztop1,NA(),IF(A61=1,'Soil profile'!$B$26,K60+I61*(B60-MIN(B60,MAX(Zphreatic,B61)))+H61*(MIN(B60,MAX(Zphreatic,B61))-B61)))</f>
        <v>74.700000000000017</v>
      </c>
      <c r="L61" s="10">
        <f>VLOOKUP(F61,'Soil profile'!$A$16:$H$19,COLUMNS('Soil profile'!$A$16:$G$16),)+VLOOKUP(F61,'Soil profile'!$A$16:$H$19,COLUMNS('Soil profile'!$A$16:$H$16),)*(G61-B61)</f>
        <v>7.4790000000000001</v>
      </c>
      <c r="M61" s="10">
        <f>VLOOKUP($E61,'Soil profile'!$A$16:$F$19,COLUMNS('Soil profile'!$A$16:$F$16),)*(C61*1000+D61*1000*(1-a)-K61)/VLOOKUP($E61,'Soil profile'!$A$16:$F$19,COLUMNS('Soil profile'!$A$16:$E$16),)</f>
        <v>7.4789999999999983</v>
      </c>
      <c r="N61" s="35">
        <f t="shared" si="2"/>
        <v>2.2204460492503131E-14</v>
      </c>
      <c r="O61" s="20">
        <f t="shared" si="3"/>
        <v>61</v>
      </c>
      <c r="P61" s="20">
        <f t="shared" si="4"/>
        <v>42</v>
      </c>
    </row>
    <row r="62" spans="1:16" ht="15" thickBot="1" x14ac:dyDescent="0.35">
      <c r="A62" s="3">
        <f t="shared" si="9"/>
        <v>52</v>
      </c>
      <c r="B62" s="4">
        <f t="shared" si="6"/>
        <v>-6.1</v>
      </c>
      <c r="C62" s="25">
        <f t="shared" si="7"/>
        <v>9.5765000000000003E-2</v>
      </c>
      <c r="D62" s="14">
        <f t="shared" si="8"/>
        <v>4.02E-2</v>
      </c>
      <c r="E62" s="6">
        <f>VLOOKUP($B62,'Soil profile'!$M$15:$N$18,2,TRUE)-1</f>
        <v>3</v>
      </c>
      <c r="F62" s="6">
        <f>VLOOKUP($B62,'Soil profile'!$M$15:$N$18,2,TRUE)-1</f>
        <v>3</v>
      </c>
      <c r="G62" s="6">
        <f>IF(B63="",G61,VLOOKUP($F62,'Soil profile'!$A$16:$C$18,2,))</f>
        <v>-6</v>
      </c>
      <c r="H62" s="6">
        <f>VLOOKUP(F62,'Soil profile'!$A$16:$D$18,4,)</f>
        <v>11.5</v>
      </c>
      <c r="I62" s="6">
        <f>VLOOKUP(F62,'Soil profile'!$A$16:$D$18,3,)</f>
        <v>10</v>
      </c>
      <c r="J62" s="3">
        <f>K62/1000+L62/1000*VLOOKUP($E62,'Soil profile'!$A$16:$F$19,COLUMNS('Soil profile'!$A$16:$E$16),)/VLOOKUP($E62,'Soil profile'!$A$16:$F$19,COLUMNS('Soil profile'!$A$16:$F$16),)</f>
        <v>0.11184500000000003</v>
      </c>
      <c r="K62" s="3">
        <f>IF(B62&gt;Ztop1,NA(),IF(A62=1,'Soil profile'!$B$26,K61+I62*(B61-MIN(B61,MAX(Zphreatic,B62)))+H62*(MIN(B61,MAX(Zphreatic,B62))-B62)))</f>
        <v>75.850000000000009</v>
      </c>
      <c r="L62" s="10">
        <f>VLOOKUP(F62,'Soil profile'!$A$16:$H$19,COLUMNS('Soil profile'!$A$16:$G$16),)+VLOOKUP(F62,'Soil profile'!$A$16:$H$19,COLUMNS('Soil profile'!$A$16:$H$16),)*(G62-B62)</f>
        <v>7.1990000000000007</v>
      </c>
      <c r="M62" s="10">
        <f>VLOOKUP($E62,'Soil profile'!$A$16:$F$19,COLUMNS('Soil profile'!$A$16:$F$16),)*(C62*1000+D62*1000*(1-a)-K62)/VLOOKUP($E62,'Soil profile'!$A$16:$F$19,COLUMNS('Soil profile'!$A$16:$E$16),)</f>
        <v>7.198999999999999</v>
      </c>
      <c r="N62" s="35">
        <f t="shared" si="2"/>
        <v>2.2204460492503131E-14</v>
      </c>
      <c r="O62" s="20">
        <f t="shared" si="3"/>
        <v>62</v>
      </c>
      <c r="P62" s="20">
        <f t="shared" si="4"/>
        <v>42</v>
      </c>
    </row>
    <row r="63" spans="1:16" ht="15" thickBot="1" x14ac:dyDescent="0.35">
      <c r="A63" s="3">
        <f t="shared" si="9"/>
        <v>53</v>
      </c>
      <c r="B63" s="4">
        <f t="shared" si="6"/>
        <v>-6.2</v>
      </c>
      <c r="C63" s="25">
        <f t="shared" si="7"/>
        <v>9.5115000000000005E-2</v>
      </c>
      <c r="D63" s="14">
        <f t="shared" si="8"/>
        <v>4.1200000000000001E-2</v>
      </c>
      <c r="E63" s="6">
        <f>VLOOKUP($B63,'Soil profile'!$M$15:$N$18,2,TRUE)-1</f>
        <v>3</v>
      </c>
      <c r="F63" s="6">
        <f>VLOOKUP($B63,'Soil profile'!$M$15:$N$18,2,TRUE)-1</f>
        <v>3</v>
      </c>
      <c r="G63" s="6">
        <f>IF(B64="",G62,VLOOKUP($F63,'Soil profile'!$A$16:$C$18,2,))</f>
        <v>-6</v>
      </c>
      <c r="H63" s="6">
        <f>VLOOKUP(F63,'Soil profile'!$A$16:$D$18,4,)</f>
        <v>11.5</v>
      </c>
      <c r="I63" s="6">
        <f>VLOOKUP(F63,'Soil profile'!$A$16:$D$18,3,)</f>
        <v>10</v>
      </c>
      <c r="J63" s="3">
        <f>K63/1000+L63/1000*VLOOKUP($E63,'Soil profile'!$A$16:$F$19,COLUMNS('Soil profile'!$A$16:$E$16),)/VLOOKUP($E63,'Soil profile'!$A$16:$F$19,COLUMNS('Soil profile'!$A$16:$F$16),)</f>
        <v>0.11159500000000001</v>
      </c>
      <c r="K63" s="3">
        <f>IF(B63&gt;Ztop1,NA(),IF(A63=1,'Soil profile'!$B$26,K62+I63*(B62-MIN(B62,MAX(Zphreatic,B63)))+H63*(MIN(B62,MAX(Zphreatic,B63))-B63)))</f>
        <v>77.000000000000014</v>
      </c>
      <c r="L63" s="10">
        <f>VLOOKUP(F63,'Soil profile'!$A$16:$H$19,COLUMNS('Soil profile'!$A$16:$G$16),)+VLOOKUP(F63,'Soil profile'!$A$16:$H$19,COLUMNS('Soil profile'!$A$16:$H$16),)*(G63-B63)</f>
        <v>6.9189999999999996</v>
      </c>
      <c r="M63" s="10">
        <f>VLOOKUP($E63,'Soil profile'!$A$16:$F$19,COLUMNS('Soil profile'!$A$16:$F$16),)*(C63*1000+D63*1000*(1-a)-K63)/VLOOKUP($E63,'Soil profile'!$A$16:$F$19,COLUMNS('Soil profile'!$A$16:$E$16),)</f>
        <v>6.9189999999999996</v>
      </c>
      <c r="N63" s="35">
        <f t="shared" si="2"/>
        <v>0</v>
      </c>
      <c r="O63" s="20">
        <f t="shared" si="3"/>
        <v>63</v>
      </c>
      <c r="P63" s="20">
        <f t="shared" si="4"/>
        <v>42</v>
      </c>
    </row>
    <row r="64" spans="1:16" ht="15" thickBot="1" x14ac:dyDescent="0.35">
      <c r="A64" s="3">
        <f t="shared" si="9"/>
        <v>54</v>
      </c>
      <c r="B64" s="4">
        <f t="shared" si="6"/>
        <v>-6.3</v>
      </c>
      <c r="C64" s="25">
        <f t="shared" si="7"/>
        <v>9.4464999999999993E-2</v>
      </c>
      <c r="D64" s="14">
        <f t="shared" si="8"/>
        <v>4.2200000000000001E-2</v>
      </c>
      <c r="E64" s="6">
        <f>VLOOKUP($B64,'Soil profile'!$M$15:$N$18,2,TRUE)-1</f>
        <v>3</v>
      </c>
      <c r="F64" s="6">
        <f>VLOOKUP($B64,'Soil profile'!$M$15:$N$18,2,TRUE)-1</f>
        <v>3</v>
      </c>
      <c r="G64" s="6">
        <f>IF(B65="",G63,VLOOKUP($F64,'Soil profile'!$A$16:$C$18,2,))</f>
        <v>-6</v>
      </c>
      <c r="H64" s="6">
        <f>VLOOKUP(F64,'Soil profile'!$A$16:$D$18,4,)</f>
        <v>11.5</v>
      </c>
      <c r="I64" s="6">
        <f>VLOOKUP(F64,'Soil profile'!$A$16:$D$18,3,)</f>
        <v>10</v>
      </c>
      <c r="J64" s="3">
        <f>K64/1000+L64/1000*VLOOKUP($E64,'Soil profile'!$A$16:$F$19,COLUMNS('Soil profile'!$A$16:$E$16),)/VLOOKUP($E64,'Soil profile'!$A$16:$F$19,COLUMNS('Soil profile'!$A$16:$F$16),)</f>
        <v>0.11134500000000001</v>
      </c>
      <c r="K64" s="3">
        <f>IF(B64&gt;Ztop1,NA(),IF(A64=1,'Soil profile'!$B$26,K63+I64*(B63-MIN(B63,MAX(Zphreatic,B64)))+H64*(MIN(B63,MAX(Zphreatic,B64))-B64)))</f>
        <v>78.150000000000006</v>
      </c>
      <c r="L64" s="10">
        <f>VLOOKUP(F64,'Soil profile'!$A$16:$H$19,COLUMNS('Soil profile'!$A$16:$G$16),)+VLOOKUP(F64,'Soil profile'!$A$16:$H$19,COLUMNS('Soil profile'!$A$16:$H$16),)*(G64-B64)</f>
        <v>6.6390000000000011</v>
      </c>
      <c r="M64" s="10">
        <f>VLOOKUP($E64,'Soil profile'!$A$16:$F$19,COLUMNS('Soil profile'!$A$16:$F$16),)*(C64*1000+D64*1000*(1-a)-K64)/VLOOKUP($E64,'Soil profile'!$A$16:$F$19,COLUMNS('Soil profile'!$A$16:$E$16),)</f>
        <v>6.6389999999999985</v>
      </c>
      <c r="N64" s="35">
        <f t="shared" si="2"/>
        <v>4.4408920985006262E-14</v>
      </c>
      <c r="O64" s="20">
        <f t="shared" si="3"/>
        <v>64</v>
      </c>
      <c r="P64" s="20">
        <f t="shared" si="4"/>
        <v>42</v>
      </c>
    </row>
    <row r="65" spans="1:16" ht="15" thickBot="1" x14ac:dyDescent="0.35">
      <c r="A65" s="3">
        <f t="shared" si="9"/>
        <v>55</v>
      </c>
      <c r="B65" s="4">
        <f t="shared" si="6"/>
        <v>-6.4</v>
      </c>
      <c r="C65" s="25">
        <f t="shared" si="7"/>
        <v>9.3814999999999996E-2</v>
      </c>
      <c r="D65" s="14">
        <f t="shared" si="8"/>
        <v>4.3200000000000002E-2</v>
      </c>
      <c r="E65" s="6">
        <f>VLOOKUP($B65,'Soil profile'!$M$15:$N$18,2,TRUE)-1</f>
        <v>3</v>
      </c>
      <c r="F65" s="6">
        <f>VLOOKUP($B65,'Soil profile'!$M$15:$N$18,2,TRUE)-1</f>
        <v>3</v>
      </c>
      <c r="G65" s="6">
        <f>IF(B66="",G64,VLOOKUP($F65,'Soil profile'!$A$16:$C$18,2,))</f>
        <v>-6</v>
      </c>
      <c r="H65" s="6">
        <f>VLOOKUP(F65,'Soil profile'!$A$16:$D$18,4,)</f>
        <v>11.5</v>
      </c>
      <c r="I65" s="6">
        <f>VLOOKUP(F65,'Soil profile'!$A$16:$D$18,3,)</f>
        <v>10</v>
      </c>
      <c r="J65" s="3">
        <f>K65/1000+L65/1000*VLOOKUP($E65,'Soil profile'!$A$16:$F$19,COLUMNS('Soil profile'!$A$16:$E$16),)/VLOOKUP($E65,'Soil profile'!$A$16:$F$19,COLUMNS('Soil profile'!$A$16:$F$16),)</f>
        <v>0.111095</v>
      </c>
      <c r="K65" s="3">
        <f>IF(B65&gt;Ztop1,NA(),IF(A65=1,'Soil profile'!$B$26,K64+I65*(B64-MIN(B64,MAX(Zphreatic,B65)))+H65*(MIN(B64,MAX(Zphreatic,B65))-B65)))</f>
        <v>79.300000000000011</v>
      </c>
      <c r="L65" s="10">
        <f>VLOOKUP(F65,'Soil profile'!$A$16:$H$19,COLUMNS('Soil profile'!$A$16:$G$16),)+VLOOKUP(F65,'Soil profile'!$A$16:$H$19,COLUMNS('Soil profile'!$A$16:$H$16),)*(G65-B65)</f>
        <v>6.3589999999999991</v>
      </c>
      <c r="M65" s="10">
        <f>VLOOKUP($E65,'Soil profile'!$A$16:$F$19,COLUMNS('Soil profile'!$A$16:$F$16),)*(C65*1000+D65*1000*(1-a)-K65)/VLOOKUP($E65,'Soil profile'!$A$16:$F$19,COLUMNS('Soil profile'!$A$16:$E$16),)</f>
        <v>6.3589999999999973</v>
      </c>
      <c r="N65" s="35">
        <f t="shared" si="2"/>
        <v>2.2204460492503131E-14</v>
      </c>
      <c r="O65" s="20">
        <f t="shared" si="3"/>
        <v>65</v>
      </c>
      <c r="P65" s="20">
        <f t="shared" si="4"/>
        <v>42</v>
      </c>
    </row>
    <row r="66" spans="1:16" ht="15" thickBot="1" x14ac:dyDescent="0.35">
      <c r="A66" s="3">
        <f t="shared" si="9"/>
        <v>56</v>
      </c>
      <c r="B66" s="4">
        <f t="shared" si="6"/>
        <v>-6.5</v>
      </c>
      <c r="C66" s="25">
        <f t="shared" si="7"/>
        <v>9.3204999999999996E-2</v>
      </c>
      <c r="D66" s="14">
        <f t="shared" si="8"/>
        <v>4.41E-2</v>
      </c>
      <c r="E66" s="6">
        <f>VLOOKUP($B66,'Soil profile'!$M$15:$N$18,2,TRUE)-1</f>
        <v>3</v>
      </c>
      <c r="F66" s="6">
        <f>VLOOKUP($B66,'Soil profile'!$M$15:$N$18,2,TRUE)-1</f>
        <v>3</v>
      </c>
      <c r="G66" s="6">
        <f>IF(B67="",G65,VLOOKUP($F66,'Soil profile'!$A$16:$C$18,2,))</f>
        <v>-6</v>
      </c>
      <c r="H66" s="6">
        <f>VLOOKUP(F66,'Soil profile'!$A$16:$D$18,4,)</f>
        <v>11.5</v>
      </c>
      <c r="I66" s="6">
        <f>VLOOKUP(F66,'Soil profile'!$A$16:$D$18,3,)</f>
        <v>10</v>
      </c>
      <c r="J66" s="3">
        <f>K66/1000+L66/1000*VLOOKUP($E66,'Soil profile'!$A$16:$F$19,COLUMNS('Soil profile'!$A$16:$E$16),)/VLOOKUP($E66,'Soil profile'!$A$16:$F$19,COLUMNS('Soil profile'!$A$16:$F$16),)</f>
        <v>0.110845</v>
      </c>
      <c r="K66" s="3">
        <f>IF(B66&gt;Ztop1,NA(),IF(A66=1,'Soil profile'!$B$26,K65+I66*(B65-MIN(B65,MAX(Zphreatic,B66)))+H66*(MIN(B65,MAX(Zphreatic,B66))-B66)))</f>
        <v>80.45</v>
      </c>
      <c r="L66" s="10">
        <f>VLOOKUP(F66,'Soil profile'!$A$16:$H$19,COLUMNS('Soil profile'!$A$16:$G$16),)+VLOOKUP(F66,'Soil profile'!$A$16:$H$19,COLUMNS('Soil profile'!$A$16:$H$16),)*(G66-B66)</f>
        <v>6.0790000000000006</v>
      </c>
      <c r="M66" s="10">
        <f>VLOOKUP($E66,'Soil profile'!$A$16:$F$19,COLUMNS('Soil profile'!$A$16:$F$16),)*(C66*1000+D66*1000*(1-a)-K66)/VLOOKUP($E66,'Soil profile'!$A$16:$F$19,COLUMNS('Soil profile'!$A$16:$E$16),)</f>
        <v>6.0789999999999988</v>
      </c>
      <c r="N66" s="35">
        <f t="shared" si="2"/>
        <v>2.2204460492503131E-14</v>
      </c>
      <c r="O66" s="20">
        <f t="shared" si="3"/>
        <v>66</v>
      </c>
      <c r="P66" s="20">
        <f t="shared" si="4"/>
        <v>42</v>
      </c>
    </row>
    <row r="67" spans="1:16" ht="15" thickBot="1" x14ac:dyDescent="0.35">
      <c r="A67" s="3">
        <f t="shared" si="9"/>
        <v>57</v>
      </c>
      <c r="B67" s="4">
        <f t="shared" si="6"/>
        <v>-6.6</v>
      </c>
      <c r="C67" s="25">
        <f t="shared" si="7"/>
        <v>9.2554999999999998E-2</v>
      </c>
      <c r="D67" s="14">
        <f t="shared" si="8"/>
        <v>4.5100000000000001E-2</v>
      </c>
      <c r="E67" s="6">
        <f>VLOOKUP($B67,'Soil profile'!$M$15:$N$18,2,TRUE)-1</f>
        <v>3</v>
      </c>
      <c r="F67" s="6">
        <f>VLOOKUP($B67,'Soil profile'!$M$15:$N$18,2,TRUE)-1</f>
        <v>3</v>
      </c>
      <c r="G67" s="6">
        <f>IF(B68="",G66,VLOOKUP($F67,'Soil profile'!$A$16:$C$18,2,))</f>
        <v>-6</v>
      </c>
      <c r="H67" s="6">
        <f>VLOOKUP(F67,'Soil profile'!$A$16:$D$18,4,)</f>
        <v>11.5</v>
      </c>
      <c r="I67" s="6">
        <f>VLOOKUP(F67,'Soil profile'!$A$16:$D$18,3,)</f>
        <v>10</v>
      </c>
      <c r="J67" s="3">
        <f>K67/1000+L67/1000*VLOOKUP($E67,'Soil profile'!$A$16:$F$19,COLUMNS('Soil profile'!$A$16:$E$16),)/VLOOKUP($E67,'Soil profile'!$A$16:$F$19,COLUMNS('Soil profile'!$A$16:$F$16),)</f>
        <v>0.110595</v>
      </c>
      <c r="K67" s="3">
        <f>IF(B67&gt;Ztop1,NA(),IF(A67=1,'Soil profile'!$B$26,K66+I67*(B66-MIN(B66,MAX(Zphreatic,B67)))+H67*(MIN(B66,MAX(Zphreatic,B67))-B67)))</f>
        <v>81.599999999999994</v>
      </c>
      <c r="L67" s="10">
        <f>VLOOKUP(F67,'Soil profile'!$A$16:$H$19,COLUMNS('Soil profile'!$A$16:$G$16),)+VLOOKUP(F67,'Soil profile'!$A$16:$H$19,COLUMNS('Soil profile'!$A$16:$H$16),)*(G67-B67)</f>
        <v>5.7990000000000013</v>
      </c>
      <c r="M67" s="10">
        <f>VLOOKUP($E67,'Soil profile'!$A$16:$F$19,COLUMNS('Soil profile'!$A$16:$F$16),)*(C67*1000+D67*1000*(1-a)-K67)/VLOOKUP($E67,'Soil profile'!$A$16:$F$19,COLUMNS('Soil profile'!$A$16:$E$16),)</f>
        <v>5.7990000000000013</v>
      </c>
      <c r="N67" s="35">
        <f t="shared" si="2"/>
        <v>0</v>
      </c>
      <c r="O67" s="20">
        <f t="shared" si="3"/>
        <v>67</v>
      </c>
      <c r="P67" s="20">
        <f t="shared" si="4"/>
        <v>42</v>
      </c>
    </row>
    <row r="68" spans="1:16" ht="15" thickBot="1" x14ac:dyDescent="0.35">
      <c r="A68" s="3">
        <f t="shared" si="9"/>
        <v>58</v>
      </c>
      <c r="B68" s="4">
        <f t="shared" si="6"/>
        <v>-6.7</v>
      </c>
      <c r="C68" s="25">
        <f t="shared" si="7"/>
        <v>9.1905000000000001E-2</v>
      </c>
      <c r="D68" s="14">
        <f t="shared" si="8"/>
        <v>4.6100000000000002E-2</v>
      </c>
      <c r="E68" s="6">
        <f>VLOOKUP($B68,'Soil profile'!$M$15:$N$18,2,TRUE)-1</f>
        <v>3</v>
      </c>
      <c r="F68" s="6">
        <f>VLOOKUP($B68,'Soil profile'!$M$15:$N$18,2,TRUE)-1</f>
        <v>3</v>
      </c>
      <c r="G68" s="6">
        <f>IF(B69="",G67,VLOOKUP($F68,'Soil profile'!$A$16:$C$18,2,))</f>
        <v>-6</v>
      </c>
      <c r="H68" s="6">
        <f>VLOOKUP(F68,'Soil profile'!$A$16:$D$18,4,)</f>
        <v>11.5</v>
      </c>
      <c r="I68" s="6">
        <f>VLOOKUP(F68,'Soil profile'!$A$16:$D$18,3,)</f>
        <v>10</v>
      </c>
      <c r="J68" s="3">
        <f>K68/1000+L68/1000*VLOOKUP($E68,'Soil profile'!$A$16:$F$19,COLUMNS('Soil profile'!$A$16:$E$16),)/VLOOKUP($E68,'Soil profile'!$A$16:$F$19,COLUMNS('Soil profile'!$A$16:$F$16),)</f>
        <v>0.110345</v>
      </c>
      <c r="K68" s="3">
        <f>IF(B68&gt;Ztop1,NA(),IF(A68=1,'Soil profile'!$B$26,K67+I68*(B67-MIN(B67,MAX(Zphreatic,B68)))+H68*(MIN(B67,MAX(Zphreatic,B68))-B68)))</f>
        <v>82.75</v>
      </c>
      <c r="L68" s="10">
        <f>VLOOKUP(F68,'Soil profile'!$A$16:$H$19,COLUMNS('Soil profile'!$A$16:$G$16),)+VLOOKUP(F68,'Soil profile'!$A$16:$H$19,COLUMNS('Soil profile'!$A$16:$H$16),)*(G68-B68)</f>
        <v>5.5190000000000001</v>
      </c>
      <c r="M68" s="10">
        <f>VLOOKUP($E68,'Soil profile'!$A$16:$F$19,COLUMNS('Soil profile'!$A$16:$F$16),)*(C68*1000+D68*1000*(1-a)-K68)/VLOOKUP($E68,'Soil profile'!$A$16:$F$19,COLUMNS('Soil profile'!$A$16:$E$16),)</f>
        <v>5.5190000000000001</v>
      </c>
      <c r="N68" s="35">
        <f t="shared" si="2"/>
        <v>0</v>
      </c>
      <c r="O68" s="20">
        <f t="shared" si="3"/>
        <v>68</v>
      </c>
      <c r="P68" s="20">
        <f t="shared" si="4"/>
        <v>42</v>
      </c>
    </row>
    <row r="69" spans="1:16" ht="15" thickBot="1" x14ac:dyDescent="0.35">
      <c r="A69" s="3">
        <f t="shared" si="9"/>
        <v>59</v>
      </c>
      <c r="B69" s="4">
        <f t="shared" si="6"/>
        <v>-6.8</v>
      </c>
      <c r="C69" s="25">
        <f t="shared" si="7"/>
        <v>9.1255000000000003E-2</v>
      </c>
      <c r="D69" s="14">
        <f t="shared" si="8"/>
        <v>4.7100000000000003E-2</v>
      </c>
      <c r="E69" s="6">
        <f>VLOOKUP($B69,'Soil profile'!$M$15:$N$18,2,TRUE)-1</f>
        <v>3</v>
      </c>
      <c r="F69" s="6">
        <f>VLOOKUP($B69,'Soil profile'!$M$15:$N$18,2,TRUE)-1</f>
        <v>3</v>
      </c>
      <c r="G69" s="6">
        <f>IF(B70="",G68,VLOOKUP($F69,'Soil profile'!$A$16:$C$18,2,))</f>
        <v>-6</v>
      </c>
      <c r="H69" s="6">
        <f>VLOOKUP(F69,'Soil profile'!$A$16:$D$18,4,)</f>
        <v>11.5</v>
      </c>
      <c r="I69" s="6">
        <f>VLOOKUP(F69,'Soil profile'!$A$16:$D$18,3,)</f>
        <v>10</v>
      </c>
      <c r="J69" s="3">
        <f>K69/1000+L69/1000*VLOOKUP($E69,'Soil profile'!$A$16:$F$19,COLUMNS('Soil profile'!$A$16:$E$16),)/VLOOKUP($E69,'Soil profile'!$A$16:$F$19,COLUMNS('Soil profile'!$A$16:$F$16),)</f>
        <v>0.110095</v>
      </c>
      <c r="K69" s="3">
        <f>IF(B69&gt;Ztop1,NA(),IF(A69=1,'Soil profile'!$B$26,K68+I69*(B68-MIN(B68,MAX(Zphreatic,B69)))+H69*(MIN(B68,MAX(Zphreatic,B69))-B69)))</f>
        <v>83.899999999999991</v>
      </c>
      <c r="L69" s="10">
        <f>VLOOKUP(F69,'Soil profile'!$A$16:$H$19,COLUMNS('Soil profile'!$A$16:$G$16),)+VLOOKUP(F69,'Soil profile'!$A$16:$H$19,COLUMNS('Soil profile'!$A$16:$H$16),)*(G69-B69)</f>
        <v>5.2390000000000008</v>
      </c>
      <c r="M69" s="10">
        <f>VLOOKUP($E69,'Soil profile'!$A$16:$F$19,COLUMNS('Soil profile'!$A$16:$F$16),)*(C69*1000+D69*1000*(1-a)-K69)/VLOOKUP($E69,'Soil profile'!$A$16:$F$19,COLUMNS('Soil profile'!$A$16:$E$16),)</f>
        <v>5.2390000000000043</v>
      </c>
      <c r="N69" s="35">
        <f t="shared" si="2"/>
        <v>6.6613381477509392E-14</v>
      </c>
      <c r="O69" s="20">
        <f t="shared" si="3"/>
        <v>69</v>
      </c>
      <c r="P69" s="20">
        <f t="shared" si="4"/>
        <v>42</v>
      </c>
    </row>
    <row r="70" spans="1:16" ht="15" thickBot="1" x14ac:dyDescent="0.35">
      <c r="A70" s="3">
        <f t="shared" si="9"/>
        <v>60</v>
      </c>
      <c r="B70" s="4">
        <f t="shared" si="6"/>
        <v>-6.9</v>
      </c>
      <c r="C70" s="25">
        <f t="shared" si="7"/>
        <v>9.0605000000000005E-2</v>
      </c>
      <c r="D70" s="14">
        <f t="shared" si="8"/>
        <v>4.8099999999999997E-2</v>
      </c>
      <c r="E70" s="6">
        <f>VLOOKUP($B70,'Soil profile'!$M$15:$N$18,2,TRUE)-1</f>
        <v>3</v>
      </c>
      <c r="F70" s="6">
        <f>VLOOKUP($B70,'Soil profile'!$M$15:$N$18,2,TRUE)-1</f>
        <v>3</v>
      </c>
      <c r="G70" s="6">
        <f>IF(B71="",G69,VLOOKUP($F70,'Soil profile'!$A$16:$C$18,2,))</f>
        <v>-6</v>
      </c>
      <c r="H70" s="6">
        <f>VLOOKUP(F70,'Soil profile'!$A$16:$D$18,4,)</f>
        <v>11.5</v>
      </c>
      <c r="I70" s="6">
        <f>VLOOKUP(F70,'Soil profile'!$A$16:$D$18,3,)</f>
        <v>10</v>
      </c>
      <c r="J70" s="3">
        <f>K70/1000+L70/1000*VLOOKUP($E70,'Soil profile'!$A$16:$F$19,COLUMNS('Soil profile'!$A$16:$E$16),)/VLOOKUP($E70,'Soil profile'!$A$16:$F$19,COLUMNS('Soil profile'!$A$16:$F$16),)</f>
        <v>0.109845</v>
      </c>
      <c r="K70" s="3">
        <f>IF(B70&gt;Ztop1,NA(),IF(A70=1,'Soil profile'!$B$26,K69+I70*(B69-MIN(B69,MAX(Zphreatic,B70)))+H70*(MIN(B69,MAX(Zphreatic,B70))-B70)))</f>
        <v>85.05</v>
      </c>
      <c r="L70" s="10">
        <f>VLOOKUP(F70,'Soil profile'!$A$16:$H$19,COLUMNS('Soil profile'!$A$16:$G$16),)+VLOOKUP(F70,'Soil profile'!$A$16:$H$19,COLUMNS('Soil profile'!$A$16:$H$16),)*(G70-B70)</f>
        <v>4.9589999999999996</v>
      </c>
      <c r="M70" s="10">
        <f>VLOOKUP($E70,'Soil profile'!$A$16:$F$19,COLUMNS('Soil profile'!$A$16:$F$16),)*(C70*1000+D70*1000*(1-a)-K70)/VLOOKUP($E70,'Soil profile'!$A$16:$F$19,COLUMNS('Soil profile'!$A$16:$E$16),)</f>
        <v>4.9590000000000005</v>
      </c>
      <c r="N70" s="35">
        <f t="shared" si="2"/>
        <v>2.2204460492503131E-14</v>
      </c>
      <c r="O70" s="20">
        <f t="shared" si="3"/>
        <v>70</v>
      </c>
      <c r="P70" s="20">
        <f t="shared" si="4"/>
        <v>42</v>
      </c>
    </row>
    <row r="71" spans="1:16" ht="15" thickBot="1" x14ac:dyDescent="0.35">
      <c r="A71" s="3">
        <f t="shared" si="9"/>
        <v>61</v>
      </c>
      <c r="B71" s="4">
        <f t="shared" si="6"/>
        <v>-7</v>
      </c>
      <c r="C71" s="25">
        <f t="shared" si="7"/>
        <v>8.9954999999999993E-2</v>
      </c>
      <c r="D71" s="14">
        <f t="shared" si="8"/>
        <v>4.9099999999999998E-2</v>
      </c>
      <c r="E71" s="6">
        <f>VLOOKUP($B71,'Soil profile'!$M$15:$N$18,2,TRUE)-1</f>
        <v>3</v>
      </c>
      <c r="F71" s="6">
        <f>VLOOKUP($B71,'Soil profile'!$M$15:$N$18,2,TRUE)-1</f>
        <v>3</v>
      </c>
      <c r="G71" s="6">
        <f>IF(B72="",G70,VLOOKUP($F71,'Soil profile'!$A$16:$C$18,2,))</f>
        <v>-6</v>
      </c>
      <c r="H71" s="6">
        <f>VLOOKUP(F71,'Soil profile'!$A$16:$D$18,4,)</f>
        <v>11.5</v>
      </c>
      <c r="I71" s="6">
        <f>VLOOKUP(F71,'Soil profile'!$A$16:$D$18,3,)</f>
        <v>10</v>
      </c>
      <c r="J71" s="3">
        <f>K71/1000+L71/1000*VLOOKUP($E71,'Soil profile'!$A$16:$F$19,COLUMNS('Soil profile'!$A$16:$E$16),)/VLOOKUP($E71,'Soil profile'!$A$16:$F$19,COLUMNS('Soil profile'!$A$16:$F$16),)</f>
        <v>0.10959499999999998</v>
      </c>
      <c r="K71" s="3">
        <f>IF(B71&gt;Ztop1,NA(),IF(A71=1,'Soil profile'!$B$26,K70+I71*(B70-MIN(B70,MAX(Zphreatic,B71)))+H71*(MIN(B70,MAX(Zphreatic,B71))-B71)))</f>
        <v>86.199999999999989</v>
      </c>
      <c r="L71" s="10">
        <f>VLOOKUP(F71,'Soil profile'!$A$16:$H$19,COLUMNS('Soil profile'!$A$16:$G$16),)+VLOOKUP(F71,'Soil profile'!$A$16:$H$19,COLUMNS('Soil profile'!$A$16:$H$16),)*(G71-B71)</f>
        <v>4.6790000000000003</v>
      </c>
      <c r="M71" s="10">
        <f>VLOOKUP($E71,'Soil profile'!$A$16:$F$19,COLUMNS('Soil profile'!$A$16:$F$16),)*(C71*1000+D71*1000*(1-a)-K71)/VLOOKUP($E71,'Soil profile'!$A$16:$F$19,COLUMNS('Soil profile'!$A$16:$E$16),)</f>
        <v>4.679000000000002</v>
      </c>
      <c r="N71" s="35">
        <f t="shared" si="2"/>
        <v>3.3306690738754696E-14</v>
      </c>
      <c r="O71" s="20">
        <f t="shared" si="3"/>
        <v>71</v>
      </c>
      <c r="P71" s="20">
        <f t="shared" si="4"/>
        <v>42</v>
      </c>
    </row>
    <row r="72" spans="1:16" ht="15" thickBot="1" x14ac:dyDescent="0.35">
      <c r="A72" s="3">
        <f t="shared" si="9"/>
        <v>62</v>
      </c>
      <c r="B72" s="4">
        <f t="shared" si="6"/>
        <v>-7.1</v>
      </c>
      <c r="C72" s="25">
        <f t="shared" si="7"/>
        <v>8.9344999999999994E-2</v>
      </c>
      <c r="D72" s="14">
        <f t="shared" si="8"/>
        <v>0.05</v>
      </c>
      <c r="E72" s="6">
        <f>VLOOKUP($B72,'Soil profile'!$M$15:$N$18,2,TRUE)-1</f>
        <v>3</v>
      </c>
      <c r="F72" s="6">
        <f>VLOOKUP($B72,'Soil profile'!$M$15:$N$18,2,TRUE)-1</f>
        <v>3</v>
      </c>
      <c r="G72" s="6">
        <f>IF(B73="",G71,VLOOKUP($F72,'Soil profile'!$A$16:$C$18,2,))</f>
        <v>-6</v>
      </c>
      <c r="H72" s="6">
        <f>VLOOKUP(F72,'Soil profile'!$A$16:$D$18,4,)</f>
        <v>11.5</v>
      </c>
      <c r="I72" s="6">
        <f>VLOOKUP(F72,'Soil profile'!$A$16:$D$18,3,)</f>
        <v>10</v>
      </c>
      <c r="J72" s="3">
        <f>K72/1000+L72/1000*VLOOKUP($E72,'Soil profile'!$A$16:$F$19,COLUMNS('Soil profile'!$A$16:$E$16),)/VLOOKUP($E72,'Soil profile'!$A$16:$F$19,COLUMNS('Soil profile'!$A$16:$F$16),)</f>
        <v>0.109345</v>
      </c>
      <c r="K72" s="3">
        <f>IF(B72&gt;Ztop1,NA(),IF(A72=1,'Soil profile'!$B$26,K71+I72*(B71-MIN(B71,MAX(Zphreatic,B72)))+H72*(MIN(B71,MAX(Zphreatic,B72))-B72)))</f>
        <v>87.34999999999998</v>
      </c>
      <c r="L72" s="10">
        <f>VLOOKUP(F72,'Soil profile'!$A$16:$H$19,COLUMNS('Soil profile'!$A$16:$G$16),)+VLOOKUP(F72,'Soil profile'!$A$16:$H$19,COLUMNS('Soil profile'!$A$16:$H$16),)*(G72-B72)</f>
        <v>4.3990000000000009</v>
      </c>
      <c r="M72" s="10">
        <f>VLOOKUP($E72,'Soil profile'!$A$16:$F$19,COLUMNS('Soil profile'!$A$16:$F$16),)*(C72*1000+D72*1000*(1-a)-K72)/VLOOKUP($E72,'Soil profile'!$A$16:$F$19,COLUMNS('Soil profile'!$A$16:$E$16),)</f>
        <v>4.3990000000000036</v>
      </c>
      <c r="N72" s="35">
        <f t="shared" si="2"/>
        <v>5.5511151231257827E-14</v>
      </c>
      <c r="O72" s="20">
        <f t="shared" si="3"/>
        <v>72</v>
      </c>
      <c r="P72" s="20">
        <f t="shared" si="4"/>
        <v>42</v>
      </c>
    </row>
    <row r="73" spans="1:16" ht="15" thickBot="1" x14ac:dyDescent="0.35">
      <c r="A73" s="3">
        <f t="shared" si="9"/>
        <v>63</v>
      </c>
      <c r="B73" s="4">
        <f t="shared" si="6"/>
        <v>-7.2</v>
      </c>
      <c r="C73" s="25">
        <f t="shared" si="7"/>
        <v>8.8694999999999996E-2</v>
      </c>
      <c r="D73" s="14">
        <f t="shared" si="8"/>
        <v>5.0999999999999997E-2</v>
      </c>
      <c r="E73" s="6">
        <f>VLOOKUP($B73,'Soil profile'!$M$15:$N$18,2,TRUE)-1</f>
        <v>3</v>
      </c>
      <c r="F73" s="6">
        <f>VLOOKUP($B73,'Soil profile'!$M$15:$N$18,2,TRUE)-1</f>
        <v>3</v>
      </c>
      <c r="G73" s="6">
        <f>IF(B74="",G72,VLOOKUP($F73,'Soil profile'!$A$16:$C$18,2,))</f>
        <v>-6</v>
      </c>
      <c r="H73" s="6">
        <f>VLOOKUP(F73,'Soil profile'!$A$16:$D$18,4,)</f>
        <v>11.5</v>
      </c>
      <c r="I73" s="6">
        <f>VLOOKUP(F73,'Soil profile'!$A$16:$D$18,3,)</f>
        <v>10</v>
      </c>
      <c r="J73" s="3">
        <f>K73/1000+L73/1000*VLOOKUP($E73,'Soil profile'!$A$16:$F$19,COLUMNS('Soil profile'!$A$16:$E$16),)/VLOOKUP($E73,'Soil profile'!$A$16:$F$19,COLUMNS('Soil profile'!$A$16:$F$16),)</f>
        <v>0.10909499999999997</v>
      </c>
      <c r="K73" s="3">
        <f>IF(B73&gt;Ztop1,NA(),IF(A73=1,'Soil profile'!$B$26,K72+I73*(B72-MIN(B72,MAX(Zphreatic,B73)))+H73*(MIN(B72,MAX(Zphreatic,B73))-B73)))</f>
        <v>88.499999999999986</v>
      </c>
      <c r="L73" s="10">
        <f>VLOOKUP(F73,'Soil profile'!$A$16:$H$19,COLUMNS('Soil profile'!$A$16:$G$16),)+VLOOKUP(F73,'Soil profile'!$A$16:$H$19,COLUMNS('Soil profile'!$A$16:$H$16),)*(G73-B73)</f>
        <v>4.1189999999999998</v>
      </c>
      <c r="M73" s="10">
        <f>VLOOKUP($E73,'Soil profile'!$A$16:$F$19,COLUMNS('Soil profile'!$A$16:$F$16),)*(C73*1000+D73*1000*(1-a)-K73)/VLOOKUP($E73,'Soil profile'!$A$16:$F$19,COLUMNS('Soil profile'!$A$16:$E$16),)</f>
        <v>4.1190000000000024</v>
      </c>
      <c r="N73" s="35">
        <f t="shared" si="2"/>
        <v>6.6613381477509392E-14</v>
      </c>
      <c r="O73" s="20">
        <f t="shared" si="3"/>
        <v>73</v>
      </c>
      <c r="P73" s="20">
        <f t="shared" si="4"/>
        <v>42</v>
      </c>
    </row>
    <row r="74" spans="1:16" ht="15" thickBot="1" x14ac:dyDescent="0.35">
      <c r="A74" s="3">
        <f t="shared" si="9"/>
        <v>64</v>
      </c>
      <c r="B74" s="4">
        <f t="shared" si="6"/>
        <v>-7.3</v>
      </c>
      <c r="C74" s="25">
        <f t="shared" si="7"/>
        <v>8.8044999999999998E-2</v>
      </c>
      <c r="D74" s="14">
        <f t="shared" si="8"/>
        <v>5.1999999999999998E-2</v>
      </c>
      <c r="E74" s="6">
        <f>VLOOKUP($B74,'Soil profile'!$M$15:$N$18,2,TRUE)-1</f>
        <v>3</v>
      </c>
      <c r="F74" s="6">
        <f>VLOOKUP($B74,'Soil profile'!$M$15:$N$18,2,TRUE)-1</f>
        <v>3</v>
      </c>
      <c r="G74" s="6">
        <f>IF(B75="",G73,VLOOKUP($F74,'Soil profile'!$A$16:$C$18,2,))</f>
        <v>-6</v>
      </c>
      <c r="H74" s="6">
        <f>VLOOKUP(F74,'Soil profile'!$A$16:$D$18,4,)</f>
        <v>11.5</v>
      </c>
      <c r="I74" s="6">
        <f>VLOOKUP(F74,'Soil profile'!$A$16:$D$18,3,)</f>
        <v>10</v>
      </c>
      <c r="J74" s="3">
        <f>K74/1000+L74/1000*VLOOKUP($E74,'Soil profile'!$A$16:$F$19,COLUMNS('Soil profile'!$A$16:$E$16),)/VLOOKUP($E74,'Soil profile'!$A$16:$F$19,COLUMNS('Soil profile'!$A$16:$F$16),)</f>
        <v>0.10884499999999998</v>
      </c>
      <c r="K74" s="3">
        <f>IF(B74&gt;Ztop1,NA(),IF(A74=1,'Soil profile'!$B$26,K73+I74*(B73-MIN(B73,MAX(Zphreatic,B74)))+H74*(MIN(B73,MAX(Zphreatic,B74))-B74)))</f>
        <v>89.649999999999977</v>
      </c>
      <c r="L74" s="10">
        <f>VLOOKUP(F74,'Soil profile'!$A$16:$H$19,COLUMNS('Soil profile'!$A$16:$G$16),)+VLOOKUP(F74,'Soil profile'!$A$16:$H$19,COLUMNS('Soil profile'!$A$16:$H$16),)*(G74-B74)</f>
        <v>3.8390000000000009</v>
      </c>
      <c r="M74" s="10">
        <f>VLOOKUP($E74,'Soil profile'!$A$16:$F$19,COLUMNS('Soil profile'!$A$16:$F$16),)*(C74*1000+D74*1000*(1-a)-K74)/VLOOKUP($E74,'Soil profile'!$A$16:$F$19,COLUMNS('Soil profile'!$A$16:$E$16),)</f>
        <v>3.8390000000000044</v>
      </c>
      <c r="N74" s="35">
        <f t="shared" si="2"/>
        <v>8.8817841970012523E-14</v>
      </c>
      <c r="O74" s="20">
        <f t="shared" si="3"/>
        <v>74</v>
      </c>
      <c r="P74" s="20">
        <f t="shared" si="4"/>
        <v>42</v>
      </c>
    </row>
    <row r="75" spans="1:16" ht="15" thickBot="1" x14ac:dyDescent="0.35">
      <c r="A75" s="3">
        <f t="shared" si="9"/>
        <v>65</v>
      </c>
      <c r="B75" s="4">
        <f t="shared" si="6"/>
        <v>-7.4</v>
      </c>
      <c r="C75" s="25">
        <f t="shared" ref="C75:C81" si="10">ROUND(J75-D75*(1-a),7)</f>
        <v>8.7395E-2</v>
      </c>
      <c r="D75" s="14">
        <f t="shared" ref="D75:D81" si="11">IF(B75&gt;=Zphreatic,0,ROUND(9.81*(Zphreatic-B75)/1000,4))</f>
        <v>5.2999999999999999E-2</v>
      </c>
      <c r="E75" s="6">
        <f>VLOOKUP($B75,'Soil profile'!$M$15:$N$18,2,TRUE)-1</f>
        <v>3</v>
      </c>
      <c r="F75" s="6">
        <f>VLOOKUP($B75,'Soil profile'!$M$15:$N$18,2,TRUE)-1</f>
        <v>3</v>
      </c>
      <c r="G75" s="6">
        <f>IF(B76="",G74,VLOOKUP($F75,'Soil profile'!$A$16:$C$18,2,))</f>
        <v>-6</v>
      </c>
      <c r="H75" s="6">
        <f>VLOOKUP(F75,'Soil profile'!$A$16:$D$18,4,)</f>
        <v>11.5</v>
      </c>
      <c r="I75" s="6">
        <f>VLOOKUP(F75,'Soil profile'!$A$16:$D$18,3,)</f>
        <v>10</v>
      </c>
      <c r="J75" s="3">
        <f>K75/1000+L75/1000*VLOOKUP($E75,'Soil profile'!$A$16:$F$19,COLUMNS('Soil profile'!$A$16:$E$16),)/VLOOKUP($E75,'Soil profile'!$A$16:$F$19,COLUMNS('Soil profile'!$A$16:$F$16),)</f>
        <v>0.10859499999999997</v>
      </c>
      <c r="K75" s="3">
        <f>IF(B75&gt;Ztop1,NA(),IF(A75=1,'Soil profile'!$B$26,K74+I75*(B74-MIN(B74,MAX(Zphreatic,B75)))+H75*(MIN(B74,MAX(Zphreatic,B75))-B75)))</f>
        <v>90.799999999999983</v>
      </c>
      <c r="L75" s="10">
        <f>VLOOKUP(F75,'Soil profile'!$A$16:$H$19,COLUMNS('Soil profile'!$A$16:$G$16),)+VLOOKUP(F75,'Soil profile'!$A$16:$H$19,COLUMNS('Soil profile'!$A$16:$H$16),)*(G75-B75)</f>
        <v>3.5589999999999993</v>
      </c>
      <c r="M75" s="10">
        <f>VLOOKUP($E75,'Soil profile'!$A$16:$F$19,COLUMNS('Soil profile'!$A$16:$F$16),)*(C75*1000+D75*1000*(1-a)-K75)/VLOOKUP($E75,'Soil profile'!$A$16:$F$19,COLUMNS('Soil profile'!$A$16:$E$16),)</f>
        <v>3.5590000000000033</v>
      </c>
      <c r="N75" s="35">
        <f t="shared" si="2"/>
        <v>1.1102230246251565E-13</v>
      </c>
      <c r="O75" s="20">
        <f t="shared" si="3"/>
        <v>75</v>
      </c>
      <c r="P75" s="20">
        <f t="shared" si="4"/>
        <v>42</v>
      </c>
    </row>
    <row r="76" spans="1:16" ht="15" thickBot="1" x14ac:dyDescent="0.35">
      <c r="A76" s="3">
        <f t="shared" si="9"/>
        <v>66</v>
      </c>
      <c r="B76" s="4">
        <f t="shared" si="6"/>
        <v>-7.5</v>
      </c>
      <c r="C76" s="25">
        <f t="shared" si="10"/>
        <v>8.6745000000000003E-2</v>
      </c>
      <c r="D76" s="14">
        <f t="shared" si="11"/>
        <v>5.3999999999999999E-2</v>
      </c>
      <c r="E76" s="6">
        <f>VLOOKUP($B76,'Soil profile'!$M$15:$N$18,2,TRUE)-1</f>
        <v>3</v>
      </c>
      <c r="F76" s="6">
        <f>VLOOKUP($B76,'Soil profile'!$M$15:$N$18,2,TRUE)-1</f>
        <v>3</v>
      </c>
      <c r="G76" s="6">
        <f>IF(B77="",G75,VLOOKUP($F76,'Soil profile'!$A$16:$C$18,2,))</f>
        <v>-6</v>
      </c>
      <c r="H76" s="6">
        <f>VLOOKUP(F76,'Soil profile'!$A$16:$D$18,4,)</f>
        <v>11.5</v>
      </c>
      <c r="I76" s="6">
        <f>VLOOKUP(F76,'Soil profile'!$A$16:$D$18,3,)</f>
        <v>10</v>
      </c>
      <c r="J76" s="3">
        <f>K76/1000+L76/1000*VLOOKUP($E76,'Soil profile'!$A$16:$F$19,COLUMNS('Soil profile'!$A$16:$E$16),)/VLOOKUP($E76,'Soil profile'!$A$16:$F$19,COLUMNS('Soil profile'!$A$16:$F$16),)</f>
        <v>0.10834499999999998</v>
      </c>
      <c r="K76" s="3">
        <f>IF(B76&gt;Ztop1,NA(),IF(A76=1,'Soil profile'!$B$26,K75+I76*(B75-MIN(B75,MAX(Zphreatic,B76)))+H76*(MIN(B75,MAX(Zphreatic,B76))-B76)))</f>
        <v>91.949999999999974</v>
      </c>
      <c r="L76" s="10">
        <f>VLOOKUP(F76,'Soil profile'!$A$16:$H$19,COLUMNS('Soil profile'!$A$16:$G$16),)+VLOOKUP(F76,'Soil profile'!$A$16:$H$19,COLUMNS('Soil profile'!$A$16:$H$16),)*(G76-B76)</f>
        <v>3.2790000000000008</v>
      </c>
      <c r="M76" s="10">
        <f>VLOOKUP($E76,'Soil profile'!$A$16:$F$19,COLUMNS('Soil profile'!$A$16:$F$16),)*(C76*1000+D76*1000*(1-a)-K76)/VLOOKUP($E76,'Soil profile'!$A$16:$F$19,COLUMNS('Soil profile'!$A$16:$E$16),)</f>
        <v>3.2790000000000048</v>
      </c>
      <c r="N76" s="35">
        <f t="shared" ref="N76:N81" si="12">ABS(L76/M76-1)*100</f>
        <v>1.2212453270876722E-13</v>
      </c>
      <c r="O76" s="20">
        <f t="shared" ref="O76:O81" si="13">ROW(A76)</f>
        <v>76</v>
      </c>
      <c r="P76" s="20">
        <f t="shared" ref="P76:P81" si="14">VLOOKUP(2,$E$11:$O$80,COLUMNS($E76:$O76),)</f>
        <v>42</v>
      </c>
    </row>
    <row r="77" spans="1:16" ht="15" thickBot="1" x14ac:dyDescent="0.35">
      <c r="A77" s="3">
        <f t="shared" si="5"/>
        <v>67</v>
      </c>
      <c r="B77" s="4">
        <f t="shared" ref="B77:B81" si="15">ROUND(B76-Interval,2)</f>
        <v>-7.6</v>
      </c>
      <c r="C77" s="25">
        <f t="shared" si="10"/>
        <v>8.6135000000000003E-2</v>
      </c>
      <c r="D77" s="14">
        <f t="shared" si="11"/>
        <v>5.4899999999999997E-2</v>
      </c>
      <c r="E77" s="6">
        <f>VLOOKUP($B77,'Soil profile'!$M$15:$N$18,2,TRUE)-1</f>
        <v>3</v>
      </c>
      <c r="F77" s="6">
        <f>VLOOKUP($B77,'Soil profile'!$M$15:$N$18,2,TRUE)-1</f>
        <v>3</v>
      </c>
      <c r="G77" s="6">
        <f>IF(B78="",G76,VLOOKUP($F77,'Soil profile'!$A$16:$C$18,2,))</f>
        <v>-6</v>
      </c>
      <c r="H77" s="6">
        <f>VLOOKUP(F77,'Soil profile'!$A$16:$D$18,4,)</f>
        <v>11.5</v>
      </c>
      <c r="I77" s="6">
        <f>VLOOKUP(F77,'Soil profile'!$A$16:$D$18,3,)</f>
        <v>10</v>
      </c>
      <c r="J77" s="3">
        <f>K77/1000+L77/1000*VLOOKUP($E77,'Soil profile'!$A$16:$F$19,COLUMNS('Soil profile'!$A$16:$E$16),)/VLOOKUP($E77,'Soil profile'!$A$16:$F$19,COLUMNS('Soil profile'!$A$16:$F$16),)</f>
        <v>0.10809499999999997</v>
      </c>
      <c r="K77" s="3">
        <f>IF(B77&gt;Ztop1,NA(),IF(A77=1,'Soil profile'!$B$26,K76+I77*(B76-MIN(B76,MAX(Zphreatic,B77)))+H77*(MIN(B76,MAX(Zphreatic,B77))-B77)))</f>
        <v>93.099999999999966</v>
      </c>
      <c r="L77" s="10">
        <f>VLOOKUP(F77,'Soil profile'!$A$16:$H$19,COLUMNS('Soil profile'!$A$16:$G$16),)+VLOOKUP(F77,'Soil profile'!$A$16:$H$19,COLUMNS('Soil profile'!$A$16:$H$16),)*(G77-B77)</f>
        <v>2.9990000000000014</v>
      </c>
      <c r="M77" s="10">
        <f>VLOOKUP($E77,'Soil profile'!$A$16:$F$19,COLUMNS('Soil profile'!$A$16:$F$16),)*(C77*1000+D77*1000*(1-a)-K77)/VLOOKUP($E77,'Soil profile'!$A$16:$F$19,COLUMNS('Soil profile'!$A$16:$E$16),)</f>
        <v>2.9990000000000068</v>
      </c>
      <c r="N77" s="35">
        <f t="shared" si="12"/>
        <v>1.7763568394002505E-13</v>
      </c>
      <c r="O77" s="20">
        <f t="shared" si="13"/>
        <v>77</v>
      </c>
      <c r="P77" s="20">
        <f t="shared" si="14"/>
        <v>42</v>
      </c>
    </row>
    <row r="78" spans="1:16" ht="15" thickBot="1" x14ac:dyDescent="0.35">
      <c r="A78" s="3">
        <f t="shared" si="5"/>
        <v>68</v>
      </c>
      <c r="B78" s="4">
        <f t="shared" si="15"/>
        <v>-7.7</v>
      </c>
      <c r="C78" s="25">
        <f t="shared" si="10"/>
        <v>8.5485000000000005E-2</v>
      </c>
      <c r="D78" s="14">
        <f t="shared" si="11"/>
        <v>5.5899999999999998E-2</v>
      </c>
      <c r="E78" s="6">
        <f>VLOOKUP($B78,'Soil profile'!$M$15:$N$18,2,TRUE)-1</f>
        <v>3</v>
      </c>
      <c r="F78" s="6">
        <f>VLOOKUP($B78,'Soil profile'!$M$15:$N$18,2,TRUE)-1</f>
        <v>3</v>
      </c>
      <c r="G78" s="6">
        <f>IF(B79="",G77,VLOOKUP($F78,'Soil profile'!$A$16:$C$18,2,))</f>
        <v>-6</v>
      </c>
      <c r="H78" s="6">
        <f>VLOOKUP(F78,'Soil profile'!$A$16:$D$18,4,)</f>
        <v>11.5</v>
      </c>
      <c r="I78" s="6">
        <f>VLOOKUP(F78,'Soil profile'!$A$16:$D$18,3,)</f>
        <v>10</v>
      </c>
      <c r="J78" s="3">
        <f>K78/1000+L78/1000*VLOOKUP($E78,'Soil profile'!$A$16:$F$19,COLUMNS('Soil profile'!$A$16:$E$16),)/VLOOKUP($E78,'Soil profile'!$A$16:$F$19,COLUMNS('Soil profile'!$A$16:$F$16),)</f>
        <v>0.10784499999999997</v>
      </c>
      <c r="K78" s="3">
        <f>IF(B78&gt;Ztop1,NA(),IF(A78=1,'Soil profile'!$B$26,K77+I78*(B77-MIN(B77,MAX(Zphreatic,B78)))+H78*(MIN(B77,MAX(Zphreatic,B78))-B78)))</f>
        <v>94.249999999999972</v>
      </c>
      <c r="L78" s="10">
        <f>VLOOKUP(F78,'Soil profile'!$A$16:$H$19,COLUMNS('Soil profile'!$A$16:$G$16),)+VLOOKUP(F78,'Soil profile'!$A$16:$H$19,COLUMNS('Soil profile'!$A$16:$H$16),)*(G78-B78)</f>
        <v>2.7190000000000003</v>
      </c>
      <c r="M78" s="10">
        <f>VLOOKUP($E78,'Soil profile'!$A$16:$F$19,COLUMNS('Soil profile'!$A$16:$F$16),)*(C78*1000+D78*1000*(1-a)-K78)/VLOOKUP($E78,'Soil profile'!$A$16:$F$19,COLUMNS('Soil profile'!$A$16:$E$16),)</f>
        <v>2.7190000000000056</v>
      </c>
      <c r="N78" s="35">
        <f t="shared" si="12"/>
        <v>1.9984014443252818E-13</v>
      </c>
      <c r="O78" s="20">
        <f t="shared" si="13"/>
        <v>78</v>
      </c>
      <c r="P78" s="20">
        <f t="shared" si="14"/>
        <v>42</v>
      </c>
    </row>
    <row r="79" spans="1:16" ht="15" thickBot="1" x14ac:dyDescent="0.35">
      <c r="A79" s="3">
        <f t="shared" si="5"/>
        <v>69</v>
      </c>
      <c r="B79" s="4">
        <f t="shared" si="15"/>
        <v>-7.8</v>
      </c>
      <c r="C79" s="25">
        <f t="shared" si="10"/>
        <v>8.4834999999999994E-2</v>
      </c>
      <c r="D79" s="14">
        <f t="shared" si="11"/>
        <v>5.6899999999999999E-2</v>
      </c>
      <c r="E79" s="6">
        <f>VLOOKUP($B79,'Soil profile'!$M$15:$N$18,2,TRUE)-1</f>
        <v>3</v>
      </c>
      <c r="F79" s="6">
        <f>VLOOKUP($B79,'Soil profile'!$M$15:$N$18,2,TRUE)-1</f>
        <v>3</v>
      </c>
      <c r="G79" s="6">
        <f>IF(B80="",G78,VLOOKUP($F79,'Soil profile'!$A$16:$C$18,2,))</f>
        <v>-6</v>
      </c>
      <c r="H79" s="6">
        <f>VLOOKUP(F79,'Soil profile'!$A$16:$D$18,4,)</f>
        <v>11.5</v>
      </c>
      <c r="I79" s="6">
        <f>VLOOKUP(F79,'Soil profile'!$A$16:$D$18,3,)</f>
        <v>10</v>
      </c>
      <c r="J79" s="3">
        <f>K79/1000+L79/1000*VLOOKUP($E79,'Soil profile'!$A$16:$F$19,COLUMNS('Soil profile'!$A$16:$E$16),)/VLOOKUP($E79,'Soil profile'!$A$16:$F$19,COLUMNS('Soil profile'!$A$16:$F$16),)</f>
        <v>0.10759499999999997</v>
      </c>
      <c r="K79" s="3">
        <f>IF(B79&gt;Ztop1,NA(),IF(A79=1,'Soil profile'!$B$26,K78+I79*(B78-MIN(B78,MAX(Zphreatic,B79)))+H79*(MIN(B78,MAX(Zphreatic,B79))-B79)))</f>
        <v>95.399999999999963</v>
      </c>
      <c r="L79" s="10">
        <f>VLOOKUP(F79,'Soil profile'!$A$16:$H$19,COLUMNS('Soil profile'!$A$16:$G$16),)+VLOOKUP(F79,'Soil profile'!$A$16:$H$19,COLUMNS('Soil profile'!$A$16:$H$16),)*(G79-B79)</f>
        <v>2.4390000000000009</v>
      </c>
      <c r="M79" s="10">
        <f>VLOOKUP($E79,'Soil profile'!$A$16:$F$19,COLUMNS('Soil profile'!$A$16:$F$16),)*(C79*1000+D79*1000*(1-a)-K79)/VLOOKUP($E79,'Soil profile'!$A$16:$F$19,COLUMNS('Soil profile'!$A$16:$E$16),)</f>
        <v>2.4390000000000072</v>
      </c>
      <c r="N79" s="35">
        <f t="shared" si="12"/>
        <v>2.55351295663786E-13</v>
      </c>
      <c r="O79" s="20">
        <f t="shared" si="13"/>
        <v>79</v>
      </c>
      <c r="P79" s="20">
        <f t="shared" si="14"/>
        <v>42</v>
      </c>
    </row>
    <row r="80" spans="1:16" ht="15" thickBot="1" x14ac:dyDescent="0.35">
      <c r="A80" s="3">
        <f t="shared" si="5"/>
        <v>70</v>
      </c>
      <c r="B80" s="4">
        <f t="shared" si="15"/>
        <v>-7.9</v>
      </c>
      <c r="C80" s="25">
        <f t="shared" si="10"/>
        <v>8.4184999999999996E-2</v>
      </c>
      <c r="D80" s="14">
        <f t="shared" si="11"/>
        <v>5.79E-2</v>
      </c>
      <c r="E80" s="6">
        <f>VLOOKUP($B80,'Soil profile'!$M$15:$N$18,2,TRUE)-1</f>
        <v>3</v>
      </c>
      <c r="F80" s="6">
        <f>VLOOKUP($B80,'Soil profile'!$M$15:$N$18,2,TRUE)-1</f>
        <v>3</v>
      </c>
      <c r="G80" s="6">
        <f>IF(B81="",G79,VLOOKUP($F80,'Soil profile'!$A$16:$C$18,2,))</f>
        <v>-6</v>
      </c>
      <c r="H80" s="6">
        <f>VLOOKUP(F80,'Soil profile'!$A$16:$D$18,4,)</f>
        <v>11.5</v>
      </c>
      <c r="I80" s="6">
        <f>VLOOKUP(F80,'Soil profile'!$A$16:$D$18,3,)</f>
        <v>10</v>
      </c>
      <c r="J80" s="3">
        <f>K80/1000+L80/1000*VLOOKUP($E80,'Soil profile'!$A$16:$F$19,COLUMNS('Soil profile'!$A$16:$E$16),)/VLOOKUP($E80,'Soil profile'!$A$16:$F$19,COLUMNS('Soil profile'!$A$16:$F$16),)</f>
        <v>0.10734499999999997</v>
      </c>
      <c r="K80" s="3">
        <f>IF(B80&gt;Ztop1,NA(),IF(A80=1,'Soil profile'!$B$26,K79+I80*(B79-MIN(B79,MAX(Zphreatic,B80)))+H80*(MIN(B79,MAX(Zphreatic,B80))-B80)))</f>
        <v>96.549999999999969</v>
      </c>
      <c r="L80" s="10">
        <f>VLOOKUP(F80,'Soil profile'!$A$16:$H$19,COLUMNS('Soil profile'!$A$16:$G$16),)+VLOOKUP(F80,'Soil profile'!$A$16:$H$19,COLUMNS('Soil profile'!$A$16:$H$16),)*(G80-B80)</f>
        <v>2.1589999999999998</v>
      </c>
      <c r="M80" s="10">
        <f>VLOOKUP($E80,'Soil profile'!$A$16:$F$19,COLUMNS('Soil profile'!$A$16:$F$16),)*(C80*1000+D80*1000*(1-a)-K80)/VLOOKUP($E80,'Soil profile'!$A$16:$F$19,COLUMNS('Soil profile'!$A$16:$E$16),)</f>
        <v>2.159000000000006</v>
      </c>
      <c r="N80" s="35">
        <f t="shared" si="12"/>
        <v>2.886579864025407E-13</v>
      </c>
      <c r="O80" s="20">
        <f t="shared" si="13"/>
        <v>80</v>
      </c>
      <c r="P80" s="20">
        <f t="shared" si="14"/>
        <v>42</v>
      </c>
    </row>
    <row r="81" spans="1:16" ht="15" thickBot="1" x14ac:dyDescent="0.35">
      <c r="A81" s="3">
        <f t="shared" si="5"/>
        <v>71</v>
      </c>
      <c r="B81" s="4">
        <f t="shared" si="15"/>
        <v>-8</v>
      </c>
      <c r="C81" s="25">
        <f t="shared" si="10"/>
        <v>8.3534999999999998E-2</v>
      </c>
      <c r="D81" s="14">
        <f t="shared" si="11"/>
        <v>5.8900000000000001E-2</v>
      </c>
      <c r="E81" s="6">
        <f>VLOOKUP($B81,'Soil profile'!$M$15:$N$18,2,TRUE)-1</f>
        <v>3</v>
      </c>
      <c r="F81" s="6">
        <f>VLOOKUP($B81,'Soil profile'!$M$15:$N$18,2,TRUE)-1</f>
        <v>3</v>
      </c>
      <c r="G81" s="6">
        <f>IF(B82="",G80,VLOOKUP($F81,'Soil profile'!$A$16:$C$18,2,))</f>
        <v>-6</v>
      </c>
      <c r="H81" s="6">
        <f>VLOOKUP(F81,'Soil profile'!$A$16:$D$18,4,)</f>
        <v>11.5</v>
      </c>
      <c r="I81" s="6">
        <f>VLOOKUP(F81,'Soil profile'!$A$16:$D$18,3,)</f>
        <v>10</v>
      </c>
      <c r="J81" s="3">
        <f>K81/1000+L81/1000*VLOOKUP($E81,'Soil profile'!$A$16:$F$19,COLUMNS('Soil profile'!$A$16:$E$16),)/VLOOKUP($E81,'Soil profile'!$A$16:$F$19,COLUMNS('Soil profile'!$A$16:$F$16),)</f>
        <v>0.10709499999999995</v>
      </c>
      <c r="K81" s="3">
        <f>IF(B81&gt;Ztop1,NA(),IF(A81=1,'Soil profile'!$B$26,K80+I81*(B80-MIN(B80,MAX(Zphreatic,B81)))+H81*(MIN(B80,MAX(Zphreatic,B81))-B81)))</f>
        <v>97.69999999999996</v>
      </c>
      <c r="L81" s="10">
        <f>VLOOKUP(F81,'Soil profile'!$A$16:$H$19,COLUMNS('Soil profile'!$A$16:$G$16),)+VLOOKUP(F81,'Soil profile'!$A$16:$H$19,COLUMNS('Soil profile'!$A$16:$H$16),)*(G81-B81)</f>
        <v>1.8790000000000004</v>
      </c>
      <c r="M81" s="10">
        <f>VLOOKUP($E81,'Soil profile'!$A$16:$F$19,COLUMNS('Soil profile'!$A$16:$F$16),)*(C81*1000+D81*1000*(1-a)-K81)/VLOOKUP($E81,'Soil profile'!$A$16:$F$19,COLUMNS('Soil profile'!$A$16:$E$16),)</f>
        <v>1.8790000000000078</v>
      </c>
      <c r="N81" s="35">
        <f t="shared" si="12"/>
        <v>3.8857805861880479E-13</v>
      </c>
      <c r="O81" s="20">
        <f t="shared" si="13"/>
        <v>81</v>
      </c>
      <c r="P81" s="20">
        <f t="shared" si="14"/>
        <v>42</v>
      </c>
    </row>
    <row r="82" spans="1:16" x14ac:dyDescent="0.3">
      <c r="E82" s="6"/>
      <c r="F82" s="6"/>
      <c r="G82" s="6"/>
      <c r="H82" s="6"/>
      <c r="I82" s="6"/>
    </row>
  </sheetData>
  <mergeCells count="1">
    <mergeCell ref="L6:N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0"/>
  <sheetViews>
    <sheetView topLeftCell="A49" workbookViewId="0">
      <selection activeCell="K72" sqref="K72"/>
    </sheetView>
  </sheetViews>
  <sheetFormatPr defaultRowHeight="14.4" x14ac:dyDescent="0.3"/>
  <sheetData>
    <row r="1" spans="1:1" ht="15" x14ac:dyDescent="0.25">
      <c r="A1" t="s">
        <v>30</v>
      </c>
    </row>
    <row r="2" spans="1:1" ht="15" x14ac:dyDescent="0.25">
      <c r="A2" t="s">
        <v>99</v>
      </c>
    </row>
    <row r="3" spans="1:1" ht="15" x14ac:dyDescent="0.25">
      <c r="A3" t="s">
        <v>94</v>
      </c>
    </row>
    <row r="4" spans="1:1" ht="15" x14ac:dyDescent="0.25">
      <c r="A4" t="s">
        <v>31</v>
      </c>
    </row>
    <row r="5" spans="1:1" ht="15" x14ac:dyDescent="0.25">
      <c r="A5" t="s">
        <v>32</v>
      </c>
    </row>
    <row r="6" spans="1:1" ht="15" x14ac:dyDescent="0.25">
      <c r="A6" t="s">
        <v>33</v>
      </c>
    </row>
    <row r="7" spans="1:1" ht="15" x14ac:dyDescent="0.25">
      <c r="A7" t="s">
        <v>34</v>
      </c>
    </row>
    <row r="8" spans="1:1" ht="15" x14ac:dyDescent="0.25">
      <c r="A8" t="s">
        <v>35</v>
      </c>
    </row>
    <row r="9" spans="1:1" ht="15" x14ac:dyDescent="0.25">
      <c r="A9" t="s">
        <v>36</v>
      </c>
    </row>
    <row r="10" spans="1:1" ht="15" x14ac:dyDescent="0.25">
      <c r="A10" t="s">
        <v>37</v>
      </c>
    </row>
    <row r="11" spans="1:1" ht="15" x14ac:dyDescent="0.25">
      <c r="A11" t="s">
        <v>38</v>
      </c>
    </row>
    <row r="12" spans="1:1" ht="15" x14ac:dyDescent="0.25">
      <c r="A12" t="s">
        <v>39</v>
      </c>
    </row>
    <row r="13" spans="1:1" ht="15" x14ac:dyDescent="0.25">
      <c r="A13" t="s">
        <v>40</v>
      </c>
    </row>
    <row r="14" spans="1:1" ht="15" x14ac:dyDescent="0.25">
      <c r="A14" t="s">
        <v>41</v>
      </c>
    </row>
    <row r="15" spans="1:1" ht="15" x14ac:dyDescent="0.25">
      <c r="A15" t="s">
        <v>42</v>
      </c>
    </row>
    <row r="16" spans="1:1" ht="15" x14ac:dyDescent="0.25">
      <c r="A16" t="s">
        <v>43</v>
      </c>
    </row>
    <row r="17" spans="1:1" ht="15" x14ac:dyDescent="0.25">
      <c r="A17" t="s">
        <v>44</v>
      </c>
    </row>
    <row r="18" spans="1:1" ht="15" x14ac:dyDescent="0.25">
      <c r="A18" t="s">
        <v>45</v>
      </c>
    </row>
    <row r="19" spans="1:1" ht="15" x14ac:dyDescent="0.25">
      <c r="A19" t="s">
        <v>46</v>
      </c>
    </row>
    <row r="20" spans="1:1" ht="15" x14ac:dyDescent="0.25">
      <c r="A20" t="s">
        <v>47</v>
      </c>
    </row>
    <row r="21" spans="1:1" ht="15" x14ac:dyDescent="0.25">
      <c r="A21" t="s">
        <v>48</v>
      </c>
    </row>
    <row r="22" spans="1:1" ht="15" x14ac:dyDescent="0.25">
      <c r="A22" t="s">
        <v>49</v>
      </c>
    </row>
    <row r="23" spans="1:1" ht="15" x14ac:dyDescent="0.25">
      <c r="A23" t="s">
        <v>50</v>
      </c>
    </row>
    <row r="24" spans="1:1" ht="15" x14ac:dyDescent="0.25">
      <c r="A24" t="s">
        <v>51</v>
      </c>
    </row>
    <row r="25" spans="1:1" ht="15" x14ac:dyDescent="0.25">
      <c r="A25" t="s">
        <v>52</v>
      </c>
    </row>
    <row r="26" spans="1:1" ht="15" x14ac:dyDescent="0.25">
      <c r="A26" t="s">
        <v>53</v>
      </c>
    </row>
    <row r="27" spans="1:1" ht="15" x14ac:dyDescent="0.25">
      <c r="A27" t="s">
        <v>54</v>
      </c>
    </row>
    <row r="28" spans="1:1" ht="15" x14ac:dyDescent="0.25">
      <c r="A28" t="s">
        <v>55</v>
      </c>
    </row>
    <row r="29" spans="1:1" ht="15" x14ac:dyDescent="0.25">
      <c r="A29" t="s">
        <v>56</v>
      </c>
    </row>
    <row r="30" spans="1:1" ht="15" x14ac:dyDescent="0.25">
      <c r="A30" t="s">
        <v>57</v>
      </c>
    </row>
    <row r="31" spans="1:1" s="12" customFormat="1" ht="15" x14ac:dyDescent="0.25">
      <c r="A31" s="12" t="str">
        <f>"#LASTSCAN= "&amp;'Su berekening'!A81</f>
        <v>#LASTSCAN= 71</v>
      </c>
    </row>
    <row r="32" spans="1:1" ht="15" x14ac:dyDescent="0.25">
      <c r="A32" t="s">
        <v>58</v>
      </c>
    </row>
    <row r="33" spans="1:1" s="12" customFormat="1" ht="15" x14ac:dyDescent="0.25">
      <c r="A33" s="12" t="str">
        <f>"#ZID= 31000,   "&amp;Zsurface&amp;",  0.03"</f>
        <v>#ZID= 31000,   -0.3,  0.03</v>
      </c>
    </row>
    <row r="34" spans="1:1" ht="15" x14ac:dyDescent="0.25">
      <c r="A34" t="s">
        <v>59</v>
      </c>
    </row>
    <row r="35" spans="1:1" ht="15" x14ac:dyDescent="0.25">
      <c r="A35" t="s">
        <v>60</v>
      </c>
    </row>
    <row r="36" spans="1:1" ht="15" x14ac:dyDescent="0.25">
      <c r="A36" t="s">
        <v>61</v>
      </c>
    </row>
    <row r="37" spans="1:1" ht="15" x14ac:dyDescent="0.25">
      <c r="A37" t="s">
        <v>62</v>
      </c>
    </row>
    <row r="38" spans="1:1" ht="15" x14ac:dyDescent="0.25">
      <c r="A38" t="s">
        <v>63</v>
      </c>
    </row>
    <row r="39" spans="1:1" ht="15" x14ac:dyDescent="0.25">
      <c r="A39" t="s">
        <v>64</v>
      </c>
    </row>
    <row r="40" spans="1:1" ht="15" x14ac:dyDescent="0.25">
      <c r="A40" t="s">
        <v>65</v>
      </c>
    </row>
    <row r="41" spans="1:1" ht="15" x14ac:dyDescent="0.25">
      <c r="A41" t="s">
        <v>66</v>
      </c>
    </row>
    <row r="42" spans="1:1" ht="15" x14ac:dyDescent="0.25">
      <c r="A42" t="s">
        <v>67</v>
      </c>
    </row>
    <row r="43" spans="1:1" ht="15" x14ac:dyDescent="0.25">
      <c r="A43" t="s">
        <v>68</v>
      </c>
    </row>
    <row r="44" spans="1:1" s="12" customFormat="1" ht="15" x14ac:dyDescent="0.25">
      <c r="A44" s="12" t="str">
        <f>"#MEASUREMENTVAR= 3, "&amp;'Soil profile'!C8&amp;", -, Netto oppervlaktequotient van de conuspunt"</f>
        <v>#MEASUREMENTVAR= 3, 0.6, -, Netto oppervlaktequotient van de conuspunt</v>
      </c>
    </row>
    <row r="45" spans="1:1" ht="15" x14ac:dyDescent="0.25">
      <c r="A45" t="s">
        <v>69</v>
      </c>
    </row>
    <row r="46" spans="1:1" ht="15" x14ac:dyDescent="0.25">
      <c r="A46" t="s">
        <v>70</v>
      </c>
    </row>
    <row r="47" spans="1:1" ht="15" x14ac:dyDescent="0.25">
      <c r="A47" t="s">
        <v>71</v>
      </c>
    </row>
    <row r="48" spans="1:1" s="12" customFormat="1" ht="15" x14ac:dyDescent="0.25">
      <c r="A48" s="12" t="str">
        <f>"#MEASUREMENTVAR= 13, "&amp;Zsurface-'Su berekening'!B11&amp;", m, voorgegraven diepte"</f>
        <v>#MEASUREMENTVAR= 13, 0.7, m, voorgegraven diepte</v>
      </c>
    </row>
    <row r="49" spans="1:1" s="12" customFormat="1" ht="15" x14ac:dyDescent="0.25">
      <c r="A49" s="12" t="str">
        <f>"#MEASUREMENTVAR= 16, "&amp;Zsurface-'Su berekening'!B81&amp;", m, einddiepte sondering"</f>
        <v>#MEASUREMENTVAR= 16, 7.7, m, einddiepte sondering</v>
      </c>
    </row>
    <row r="50" spans="1:1" ht="15" x14ac:dyDescent="0.25">
      <c r="A50" t="s">
        <v>72</v>
      </c>
    </row>
    <row r="51" spans="1:1" ht="15" x14ac:dyDescent="0.25">
      <c r="A51" t="s">
        <v>73</v>
      </c>
    </row>
    <row r="52" spans="1:1" ht="15" x14ac:dyDescent="0.25">
      <c r="A52" t="s">
        <v>74</v>
      </c>
    </row>
    <row r="53" spans="1:1" ht="15" x14ac:dyDescent="0.25">
      <c r="A53" t="s">
        <v>75</v>
      </c>
    </row>
    <row r="54" spans="1:1" ht="15" x14ac:dyDescent="0.25">
      <c r="A54" t="s">
        <v>76</v>
      </c>
    </row>
    <row r="55" spans="1:1" ht="15" x14ac:dyDescent="0.25">
      <c r="A55" t="s">
        <v>77</v>
      </c>
    </row>
    <row r="56" spans="1:1" ht="15" x14ac:dyDescent="0.25">
      <c r="A56" t="s">
        <v>78</v>
      </c>
    </row>
    <row r="57" spans="1:1" ht="15" x14ac:dyDescent="0.25">
      <c r="A57" t="s">
        <v>79</v>
      </c>
    </row>
    <row r="58" spans="1:1" ht="15" x14ac:dyDescent="0.25">
      <c r="A58" t="s">
        <v>80</v>
      </c>
    </row>
    <row r="59" spans="1:1" ht="15" x14ac:dyDescent="0.25">
      <c r="A59" t="s">
        <v>81</v>
      </c>
    </row>
    <row r="60" spans="1:1" ht="15" x14ac:dyDescent="0.25">
      <c r="A60" t="s">
        <v>82</v>
      </c>
    </row>
    <row r="61" spans="1:1" ht="15" x14ac:dyDescent="0.25">
      <c r="A61" t="s">
        <v>83</v>
      </c>
    </row>
    <row r="62" spans="1:1" ht="15" x14ac:dyDescent="0.25">
      <c r="A62" t="s">
        <v>84</v>
      </c>
    </row>
    <row r="63" spans="1:1" ht="15" x14ac:dyDescent="0.25">
      <c r="A63" t="s">
        <v>85</v>
      </c>
    </row>
    <row r="64" spans="1:1" ht="15" x14ac:dyDescent="0.25">
      <c r="A64" t="str">
        <f>"#TESTID= CPT_Benchmark_"&amp;BenchmarkNr</f>
        <v>#TESTID= CPT_Benchmark_03</v>
      </c>
    </row>
    <row r="65" spans="1:1" ht="15" x14ac:dyDescent="0.25">
      <c r="A65" t="s">
        <v>86</v>
      </c>
    </row>
    <row r="66" spans="1:1" ht="15" x14ac:dyDescent="0.25">
      <c r="A66" t="s">
        <v>87</v>
      </c>
    </row>
    <row r="67" spans="1:1" ht="15" x14ac:dyDescent="0.25">
      <c r="A67" t="s">
        <v>88</v>
      </c>
    </row>
    <row r="68" spans="1:1" ht="15" x14ac:dyDescent="0.25">
      <c r="A68" t="s">
        <v>89</v>
      </c>
    </row>
    <row r="69" spans="1:1" ht="15" x14ac:dyDescent="0.25">
      <c r="A69" t="s">
        <v>90</v>
      </c>
    </row>
    <row r="70" spans="1:1" ht="15" x14ac:dyDescent="0.25">
      <c r="A70" t="str">
        <f>Zsurface-'Su berekening'!B11&amp;"    "&amp;'Su berekening'!C11&amp;"    2.704    0.12868    "&amp;'Su berekening'!D11&amp;"    -0.364    -1.861    4    "&amp;Zsurface-'Su berekening'!B11&amp;"    400"</f>
        <v>0.7    0.082756    2.704    0.12868    0    -0.364    -1.861    4    0.7    400</v>
      </c>
    </row>
    <row r="71" spans="1:1" ht="15" x14ac:dyDescent="0.25">
      <c r="A71" t="str">
        <f>Zsurface-'Su berekening'!B12&amp;"    "&amp;'Su berekening'!C12&amp;"    2.704    0.12868    "&amp;'Su berekening'!D12&amp;"    -0.364    -1.861    4    "&amp;Zsurface-'Su berekening'!B12&amp;"    400"</f>
        <v>0.8    0.087584    2.704    0.12868    0    -0.364    -1.861    4    0.8    400</v>
      </c>
    </row>
    <row r="72" spans="1:1" ht="15" x14ac:dyDescent="0.25">
      <c r="A72" t="str">
        <f>Zsurface-'Su berekening'!B13&amp;"    "&amp;'Su berekening'!C13&amp;"    2.704    0.12868    "&amp;'Su berekening'!D13&amp;"    -0.364    -1.861    4    "&amp;Zsurface-'Su berekening'!B13&amp;"    400"</f>
        <v>0.9    0.092412    2.704    0.12868    0    -0.364    -1.861    4    0.9    400</v>
      </c>
    </row>
    <row r="73" spans="1:1" ht="15" x14ac:dyDescent="0.25">
      <c r="A73" t="str">
        <f>Zsurface-'Su berekening'!B14&amp;"    "&amp;'Su berekening'!C14&amp;"    2.704    0.12868    "&amp;'Su berekening'!D14&amp;"    -0.364    -1.861    4    "&amp;Zsurface-'Su berekening'!B14&amp;"    400"</f>
        <v>1    0.09724    2.704    0.12868    0    -0.364    -1.861    4    1    400</v>
      </c>
    </row>
    <row r="74" spans="1:1" ht="15" x14ac:dyDescent="0.25">
      <c r="A74" t="str">
        <f>Zsurface-'Su berekening'!B15&amp;"    "&amp;'Su berekening'!C15&amp;"    2.704    0.12868    "&amp;'Su berekening'!D15&amp;"    -0.364    -1.861    4    "&amp;Zsurface-'Su berekening'!B15&amp;"    400"</f>
        <v>1.1    0.102068    2.704    0.12868    0    -0.364    -1.861    4    1.1    400</v>
      </c>
    </row>
    <row r="75" spans="1:1" ht="15" x14ac:dyDescent="0.25">
      <c r="A75" t="str">
        <f>Zsurface-'Su berekening'!B16&amp;"    "&amp;'Su berekening'!C16&amp;"    2.704    0.12868    "&amp;'Su berekening'!D16&amp;"    -0.364    -1.861    4    "&amp;Zsurface-'Su berekening'!B16&amp;"    400"</f>
        <v>1.2    0.106896    2.704    0.12868    0    -0.364    -1.861    4    1.2    400</v>
      </c>
    </row>
    <row r="76" spans="1:1" ht="15" x14ac:dyDescent="0.25">
      <c r="A76" t="str">
        <f>Zsurface-'Su berekening'!B17&amp;"    "&amp;'Su berekening'!C17&amp;"    2.704    0.12868    "&amp;'Su berekening'!D17&amp;"    -0.364    -1.861    4    "&amp;Zsurface-'Su berekening'!B17&amp;"    400"</f>
        <v>1.3    0.111724    2.704    0.12868    0    -0.364    -1.861    4    1.3    400</v>
      </c>
    </row>
    <row r="77" spans="1:1" ht="15" x14ac:dyDescent="0.25">
      <c r="A77" t="str">
        <f>Zsurface-'Su berekening'!B18&amp;"    "&amp;'Su berekening'!C18&amp;"    2.704    0.12868    "&amp;'Su berekening'!D18&amp;"    -0.364    -1.861    4    "&amp;Zsurface-'Su berekening'!B18&amp;"    400"</f>
        <v>1.4    0.116552    2.704    0.12868    0    -0.364    -1.861    4    1.4    400</v>
      </c>
    </row>
    <row r="78" spans="1:1" ht="15" x14ac:dyDescent="0.25">
      <c r="A78" t="str">
        <f>Zsurface-'Su berekening'!B19&amp;"    "&amp;'Su berekening'!C19&amp;"    2.704    0.12868    "&amp;'Su berekening'!D19&amp;"    -0.364    -1.861    4    "&amp;Zsurface-'Su berekening'!B19&amp;"    400"</f>
        <v>1.5    0.12138    2.704    0.12868    0    -0.364    -1.861    4    1.5    400</v>
      </c>
    </row>
    <row r="79" spans="1:1" ht="15" x14ac:dyDescent="0.25">
      <c r="A79" t="str">
        <f>Zsurface-'Su berekening'!B20&amp;"    "&amp;'Su berekening'!C20&amp;"    2.704    0.12868    "&amp;'Su berekening'!D20&amp;"    -0.364    -1.861    4    "&amp;Zsurface-'Su berekening'!B20&amp;"    400"</f>
        <v>1.6    0.126208    2.704    0.12868    0    -0.364    -1.861    4    1.6    400</v>
      </c>
    </row>
    <row r="80" spans="1:1" ht="15" x14ac:dyDescent="0.25">
      <c r="A80" t="str">
        <f>Zsurface-'Su berekening'!B21&amp;"    "&amp;'Su berekening'!C21&amp;"    2.704    0.12868    "&amp;'Su berekening'!D21&amp;"    -0.364    -1.861    4    "&amp;Zsurface-'Su berekening'!B21&amp;"    400"</f>
        <v>1.7    0.131036    2.704    0.12868    0    -0.364    -1.861    4    1.7    400</v>
      </c>
    </row>
    <row r="81" spans="1:1" ht="15" x14ac:dyDescent="0.25">
      <c r="A81" t="str">
        <f>Zsurface-'Su berekening'!B22&amp;"    "&amp;'Su berekening'!C22&amp;"    2.704    0.12868    "&amp;'Su berekening'!D22&amp;"    -0.364    -1.861    4    "&amp;Zsurface-'Su berekening'!B22&amp;"    400"</f>
        <v>1.8    0.135534    2.704    0.12868    0.001    -0.364    -1.861    4    1.8    400</v>
      </c>
    </row>
    <row r="82" spans="1:1" ht="15" x14ac:dyDescent="0.25">
      <c r="A82" t="str">
        <f>Zsurface-'Su berekening'!B23&amp;"    "&amp;'Su berekening'!C23&amp;"    2.704    0.12868    "&amp;'Su berekening'!D23&amp;"    -0.364    -1.861    4    "&amp;Zsurface-'Su berekening'!B23&amp;"    400"</f>
        <v>1.9    0.140032    2.704    0.12868    0.002    -0.364    -1.861    4    1.9    400</v>
      </c>
    </row>
    <row r="83" spans="1:1" ht="15" x14ac:dyDescent="0.25">
      <c r="A83" t="str">
        <f>Zsurface-'Su berekening'!B24&amp;"    "&amp;'Su berekening'!C24&amp;"    2.704    0.12868    "&amp;'Su berekening'!D24&amp;"    -0.364    -1.861    4    "&amp;Zsurface-'Su berekening'!B24&amp;"    400"</f>
        <v>2    0.14457    2.704    0.12868    0.0029    -0.364    -1.861    4    2    400</v>
      </c>
    </row>
    <row r="84" spans="1:1" ht="15" x14ac:dyDescent="0.25">
      <c r="A84" t="str">
        <f>Zsurface-'Su berekening'!B25&amp;"    "&amp;'Su berekening'!C25&amp;"    2.704    0.12868    "&amp;'Su berekening'!D25&amp;"    -0.364    -1.861    4    "&amp;Zsurface-'Su berekening'!B25&amp;"    400"</f>
        <v>2.1    0.149068    2.704    0.12868    0.0039    -0.364    -1.861    4    2.1    400</v>
      </c>
    </row>
    <row r="85" spans="1:1" ht="15" x14ac:dyDescent="0.25">
      <c r="A85" t="str">
        <f>Zsurface-'Su berekening'!B26&amp;"    "&amp;'Su berekening'!C26&amp;"    2.704    0.12868    "&amp;'Su berekening'!D26&amp;"    -0.364    -1.861    4    "&amp;Zsurface-'Su berekening'!B26&amp;"    400"</f>
        <v>2.2    0.153566    2.704    0.12868    0.0049    -0.364    -1.861    4    2.2    400</v>
      </c>
    </row>
    <row r="86" spans="1:1" ht="15" x14ac:dyDescent="0.25">
      <c r="A86" t="str">
        <f>Zsurface-'Su berekening'!B27&amp;"    "&amp;'Su berekening'!C27&amp;"    2.704    0.12868    "&amp;'Su berekening'!D27&amp;"    -0.364    -1.861    4    "&amp;Zsurface-'Su berekening'!B27&amp;"    400"</f>
        <v>2.3    0.158064    2.704    0.12868    0.0059    -0.364    -1.861    4    2.3    400</v>
      </c>
    </row>
    <row r="87" spans="1:1" ht="15" x14ac:dyDescent="0.25">
      <c r="A87" t="str">
        <f>Zsurface-'Su berekening'!B28&amp;"    "&amp;'Su berekening'!C28&amp;"    2.704    0.12868    "&amp;'Su berekening'!D28&amp;"    -0.364    -1.861    4    "&amp;Zsurface-'Su berekening'!B28&amp;"    400"</f>
        <v>2.4    0.162562    2.704    0.12868    0.0069    -0.364    -1.861    4    2.4    400</v>
      </c>
    </row>
    <row r="88" spans="1:1" ht="15" x14ac:dyDescent="0.25">
      <c r="A88" t="str">
        <f>Zsurface-'Su berekening'!B29&amp;"    "&amp;'Su berekening'!C29&amp;"    2.704    0.12868    "&amp;'Su berekening'!D29&amp;"    -0.364    -1.861    4    "&amp;Zsurface-'Su berekening'!B29&amp;"    400"</f>
        <v>2.5    0.1671    2.704    0.12868    0.0078    -0.364    -1.861    4    2.5    400</v>
      </c>
    </row>
    <row r="89" spans="1:1" ht="15" x14ac:dyDescent="0.25">
      <c r="A89" t="str">
        <f>Zsurface-'Su berekening'!B30&amp;"    "&amp;'Su berekening'!C30&amp;"    2.704    0.12868    "&amp;'Su berekening'!D30&amp;"    -0.364    -1.861    4    "&amp;Zsurface-'Su berekening'!B30&amp;"    400"</f>
        <v>2.6    0.171598    2.704    0.12868    0.0088    -0.364    -1.861    4    2.6    400</v>
      </c>
    </row>
    <row r="90" spans="1:1" ht="15" x14ac:dyDescent="0.25">
      <c r="A90" t="str">
        <f>Zsurface-'Su berekening'!B31&amp;"    "&amp;'Su berekening'!C31&amp;"    2.704    0.12868    "&amp;'Su berekening'!D31&amp;"    -0.364    -1.861    4    "&amp;Zsurface-'Su berekening'!B31&amp;"    400"</f>
        <v>2.7    0.176096    2.704    0.12868    0.0098    -0.364    -1.861    4    2.7    400</v>
      </c>
    </row>
    <row r="91" spans="1:1" ht="15" x14ac:dyDescent="0.25">
      <c r="A91" t="str">
        <f>Zsurface-'Su berekening'!B32&amp;"    "&amp;'Su berekening'!C32&amp;"    2.704    0.12868    "&amp;'Su berekening'!D32&amp;"    -0.364    -1.861    4    "&amp;Zsurface-'Su berekening'!B32&amp;"    400"</f>
        <v>2.8    0.180594    2.704    0.12868    0.0108    -0.364    -1.861    4    2.8    400</v>
      </c>
    </row>
    <row r="92" spans="1:1" x14ac:dyDescent="0.3">
      <c r="A92" t="str">
        <f>Zsurface-'Su berekening'!B33&amp;"    "&amp;'Su berekening'!C33&amp;"    2.704    0.12868    "&amp;'Su berekening'!D33&amp;"    -0.364    -1.861    4    "&amp;Zsurface-'Su berekening'!B33&amp;"    400"</f>
        <v>2.9    0.185092    2.704    0.12868    0.0118    -0.364    -1.861    4    2.9    400</v>
      </c>
    </row>
    <row r="93" spans="1:1" x14ac:dyDescent="0.3">
      <c r="A93" t="str">
        <f>Zsurface-'Su berekening'!B34&amp;"    "&amp;'Su berekening'!C34&amp;"    2.704    0.12868    "&amp;'Su berekening'!D34&amp;"    -0.364    -1.861    4    "&amp;Zsurface-'Su berekening'!B34&amp;"    400"</f>
        <v>3    0.18959    2.704    0.12868    0.0128    -0.364    -1.861    4    3    400</v>
      </c>
    </row>
    <row r="94" spans="1:1" x14ac:dyDescent="0.3">
      <c r="A94" t="str">
        <f>Zsurface-'Su berekening'!B35&amp;"    "&amp;'Su berekening'!C35&amp;"    2.704    0.12868    "&amp;'Su berekening'!D35&amp;"    -0.364    -1.861    4    "&amp;Zsurface-'Su berekening'!B35&amp;"    400"</f>
        <v>3.1    0.194128    2.704    0.12868    0.0137    -0.364    -1.861    4    3.1    400</v>
      </c>
    </row>
    <row r="95" spans="1:1" x14ac:dyDescent="0.3">
      <c r="A95" t="str">
        <f>Zsurface-'Su berekening'!B36&amp;"    "&amp;'Su berekening'!C36&amp;"    2.704    0.12868    "&amp;'Su berekening'!D36&amp;"    -0.364    -1.861    4    "&amp;Zsurface-'Su berekening'!B36&amp;"    400"</f>
        <v>3.2    0.198626    2.704    0.12868    0.0147    -0.364    -1.861    4    3.2    400</v>
      </c>
    </row>
    <row r="96" spans="1:1" x14ac:dyDescent="0.3">
      <c r="A96" t="str">
        <f>Zsurface-'Su berekening'!B37&amp;"    "&amp;'Su berekening'!C37&amp;"    2.704    0.12868    "&amp;'Su berekening'!D37&amp;"    -0.364    -1.861    4    "&amp;Zsurface-'Su berekening'!B37&amp;"    400"</f>
        <v>3.3    0.203124    2.704    0.12868    0.0157    -0.364    -1.861    4    3.3    400</v>
      </c>
    </row>
    <row r="97" spans="1:1" x14ac:dyDescent="0.3">
      <c r="A97" t="str">
        <f>Zsurface-'Su berekening'!B38&amp;"    "&amp;'Su berekening'!C38&amp;"    2.704    0.12868    "&amp;'Su berekening'!D38&amp;"    -0.364    -1.861    4    "&amp;Zsurface-'Su berekening'!B38&amp;"    400"</f>
        <v>3.4    0.207622    2.704    0.12868    0.0167    -0.364    -1.861    4    3.4    400</v>
      </c>
    </row>
    <row r="98" spans="1:1" x14ac:dyDescent="0.3">
      <c r="A98" t="str">
        <f>Zsurface-'Su berekening'!B39&amp;"    "&amp;'Su berekening'!C39&amp;"    2.704    0.12868    "&amp;'Su berekening'!D39&amp;"    -0.364    -1.861    4    "&amp;Zsurface-'Su berekening'!B39&amp;"    400"</f>
        <v>3.5    0.21212    2.704    0.12868    0.0177    -0.364    -1.861    4    3.5    400</v>
      </c>
    </row>
    <row r="99" spans="1:1" x14ac:dyDescent="0.3">
      <c r="A99" t="str">
        <f>Zsurface-'Su berekening'!B40&amp;"    "&amp;'Su berekening'!C40&amp;"    2.704    0.12868    "&amp;'Su berekening'!D40&amp;"    -0.364    -1.861    4    "&amp;Zsurface-'Su berekening'!B40&amp;"    400"</f>
        <v>3.6    0.216658    2.704    0.12868    0.0186    -0.364    -1.861    4    3.6    400</v>
      </c>
    </row>
    <row r="100" spans="1:1" x14ac:dyDescent="0.3">
      <c r="A100" t="str">
        <f>Zsurface-'Su berekening'!B41&amp;"    "&amp;'Su berekening'!C41&amp;"    2.704    0.12868    "&amp;'Su berekening'!D41&amp;"    -0.364    -1.861    4    "&amp;Zsurface-'Su berekening'!B41&amp;"    400"</f>
        <v>3.7    0.221156    2.704    0.12868    0.0196    -0.364    -1.861    4    3.7    400</v>
      </c>
    </row>
    <row r="101" spans="1:1" x14ac:dyDescent="0.3">
      <c r="A101" t="str">
        <f>Zsurface-'Su berekening'!B42&amp;"    "&amp;'Su berekening'!C42&amp;"    2.704    0.12868    "&amp;'Su berekening'!D42&amp;"    -0.364    -1.861    4    "&amp;Zsurface-'Su berekening'!B42&amp;"    400"</f>
        <v>3.8    0.169663    2.704    0.12868    0.0206    -0.364    -1.861    4    3.8    400</v>
      </c>
    </row>
    <row r="102" spans="1:1" x14ac:dyDescent="0.3">
      <c r="A102" t="str">
        <f>Zsurface-'Su berekening'!B43&amp;"    "&amp;'Su berekening'!C43&amp;"    2.704    0.12868    "&amp;'Su berekening'!D43&amp;"    -0.364    -1.861    4    "&amp;Zsurface-'Su berekening'!B43&amp;"    400"</f>
        <v>3.9    0.170523    2.704    0.12868    0.0216    -0.364    -1.861    4    3.9    400</v>
      </c>
    </row>
    <row r="103" spans="1:1" x14ac:dyDescent="0.3">
      <c r="A103" t="str">
        <f>Zsurface-'Su berekening'!B44&amp;"    "&amp;'Su berekening'!C44&amp;"    2.704    0.12868    "&amp;'Su berekening'!D44&amp;"    -0.364    -1.861    4    "&amp;Zsurface-'Su berekening'!B44&amp;"    400"</f>
        <v>4    0.171383    2.704    0.12868    0.0226    -0.364    -1.861    4    4    400</v>
      </c>
    </row>
    <row r="104" spans="1:1" x14ac:dyDescent="0.3">
      <c r="A104" t="str">
        <f>Zsurface-'Su berekening'!B45&amp;"    "&amp;'Su berekening'!C45&amp;"    2.704    0.12868    "&amp;'Su berekening'!D45&amp;"    -0.364    -1.861    4    "&amp;Zsurface-'Su berekening'!B45&amp;"    400"</f>
        <v>4.1    0.172283    2.704    0.12868    0.0235    -0.364    -1.861    4    4.1    400</v>
      </c>
    </row>
    <row r="105" spans="1:1" x14ac:dyDescent="0.3">
      <c r="A105" t="str">
        <f>Zsurface-'Su berekening'!B46&amp;"    "&amp;'Su berekening'!C46&amp;"    2.704    0.12868    "&amp;'Su berekening'!D46&amp;"    -0.364    -1.861    4    "&amp;Zsurface-'Su berekening'!B46&amp;"    400"</f>
        <v>4.2    0.173143    2.704    0.12868    0.0245    -0.364    -1.861    4    4.2    400</v>
      </c>
    </row>
    <row r="106" spans="1:1" x14ac:dyDescent="0.3">
      <c r="A106" t="str">
        <f>Zsurface-'Su berekening'!B47&amp;"    "&amp;'Su berekening'!C47&amp;"    2.704    0.12868    "&amp;'Su berekening'!D47&amp;"    -0.364    -1.861    4    "&amp;Zsurface-'Su berekening'!B47&amp;"    400"</f>
        <v>4.3    0.174003    2.704    0.12868    0.0255    -0.364    -1.861    4    4.3    400</v>
      </c>
    </row>
    <row r="107" spans="1:1" x14ac:dyDescent="0.3">
      <c r="A107" t="str">
        <f>Zsurface-'Su berekening'!B48&amp;"    "&amp;'Su berekening'!C48&amp;"    2.704    0.12868    "&amp;'Su berekening'!D48&amp;"    -0.364    -1.861    4    "&amp;Zsurface-'Su berekening'!B48&amp;"    400"</f>
        <v>4.4    0.174863    2.704    0.12868    0.0265    -0.364    -1.861    4    4.4    400</v>
      </c>
    </row>
    <row r="108" spans="1:1" x14ac:dyDescent="0.3">
      <c r="A108" t="str">
        <f>Zsurface-'Su berekening'!B49&amp;"    "&amp;'Su berekening'!C49&amp;"    2.704    0.12868    "&amp;'Su berekening'!D49&amp;"    -0.364    -1.861    4    "&amp;Zsurface-'Su berekening'!B49&amp;"    400"</f>
        <v>4.5    0.175723    2.704    0.12868    0.0275    -0.364    -1.861    4    4.5    400</v>
      </c>
    </row>
    <row r="109" spans="1:1" x14ac:dyDescent="0.3">
      <c r="A109" t="str">
        <f>Zsurface-'Su berekening'!B50&amp;"    "&amp;'Su berekening'!C50&amp;"    2.704    0.12868    "&amp;'Su berekening'!D50&amp;"    -0.364    -1.861    4    "&amp;Zsurface-'Su berekening'!B50&amp;"    400"</f>
        <v>4.6    0.176623    2.704    0.12868    0.0284    -0.364    -1.861    4    4.6    400</v>
      </c>
    </row>
    <row r="110" spans="1:1" x14ac:dyDescent="0.3">
      <c r="A110" t="str">
        <f>Zsurface-'Su berekening'!B51&amp;"    "&amp;'Su berekening'!C51&amp;"    2.704    0.12868    "&amp;'Su berekening'!D51&amp;"    -0.364    -1.861    4    "&amp;Zsurface-'Su berekening'!B51&amp;"    400"</f>
        <v>4.7    0.177483    2.704    0.12868    0.0294    -0.364    -1.861    4    4.7    400</v>
      </c>
    </row>
    <row r="111" spans="1:1" x14ac:dyDescent="0.3">
      <c r="A111" t="str">
        <f>Zsurface-'Su berekening'!B52&amp;"    "&amp;'Su berekening'!C52&amp;"    2.704    0.12868    "&amp;'Su berekening'!D52&amp;"    -0.364    -1.861    4    "&amp;Zsurface-'Su berekening'!B52&amp;"    400"</f>
        <v>4.8    0.178343    2.704    0.12868    0.0304    -0.364    -1.861    4    4.8    400</v>
      </c>
    </row>
    <row r="112" spans="1:1" x14ac:dyDescent="0.3">
      <c r="A112" t="str">
        <f>Zsurface-'Su berekening'!B53&amp;"    "&amp;'Su berekening'!C53&amp;"    2.704    0.12868    "&amp;'Su berekening'!D53&amp;"    -0.364    -1.861    4    "&amp;Zsurface-'Su berekening'!B53&amp;"    400"</f>
        <v>4.9    0.179203    2.704    0.12868    0.0314    -0.364    -1.861    4    4.9    400</v>
      </c>
    </row>
    <row r="113" spans="1:1" x14ac:dyDescent="0.3">
      <c r="A113" t="str">
        <f>Zsurface-'Su berekening'!B54&amp;"    "&amp;'Su berekening'!C54&amp;"    2.704    0.12868    "&amp;'Su berekening'!D54&amp;"    -0.364    -1.861    4    "&amp;Zsurface-'Su berekening'!B54&amp;"    400"</f>
        <v>5    0.180063    2.704    0.12868    0.0324    -0.364    -1.861    4    5    400</v>
      </c>
    </row>
    <row r="114" spans="1:1" x14ac:dyDescent="0.3">
      <c r="A114" t="str">
        <f>Zsurface-'Su berekening'!B55&amp;"    "&amp;'Su berekening'!C55&amp;"    2.704    0.12868    "&amp;'Su berekening'!D55&amp;"    -0.364    -1.861    4    "&amp;Zsurface-'Su berekening'!B55&amp;"    400"</f>
        <v>5.1    0.180923    2.704    0.12868    0.0334    -0.364    -1.861    4    5.1    400</v>
      </c>
    </row>
    <row r="115" spans="1:1" x14ac:dyDescent="0.3">
      <c r="A115" t="str">
        <f>Zsurface-'Su berekening'!B56&amp;"    "&amp;'Su berekening'!C56&amp;"    2.704    0.12868    "&amp;'Su berekening'!D56&amp;"    -0.364    -1.861    4    "&amp;Zsurface-'Su berekening'!B56&amp;"    400"</f>
        <v>5.2    0.181823    2.704    0.12868    0.0343    -0.364    -1.861    4    5.2    400</v>
      </c>
    </row>
    <row r="116" spans="1:1" x14ac:dyDescent="0.3">
      <c r="A116" t="str">
        <f>Zsurface-'Su berekening'!B57&amp;"    "&amp;'Su berekening'!C57&amp;"    2.704    0.12868    "&amp;'Su berekening'!D57&amp;"    -0.364    -1.861    4    "&amp;Zsurface-'Su berekening'!B57&amp;"    400"</f>
        <v>5.3    0.182683    2.704    0.12868    0.0353    -0.364    -1.861    4    5.3    400</v>
      </c>
    </row>
    <row r="117" spans="1:1" x14ac:dyDescent="0.3">
      <c r="A117" t="str">
        <f>Zsurface-'Su berekening'!B58&amp;"    "&amp;'Su berekening'!C58&amp;"    2.704    0.12868    "&amp;'Su berekening'!D58&amp;"    -0.364    -1.861    4    "&amp;Zsurface-'Su berekening'!B58&amp;"    400"</f>
        <v>5.4    0.183543    2.704    0.12868    0.0363    -0.364    -1.861    4    5.4    400</v>
      </c>
    </row>
    <row r="118" spans="1:1" x14ac:dyDescent="0.3">
      <c r="A118" t="str">
        <f>Zsurface-'Su berekening'!B59&amp;"    "&amp;'Su berekening'!C59&amp;"    2.704    0.12868    "&amp;'Su berekening'!D59&amp;"    -0.364    -1.861    4    "&amp;Zsurface-'Su berekening'!B59&amp;"    400"</f>
        <v>5.5    0.184403    2.704    0.12868    0.0373    -0.364    -1.861    4    5.5    400</v>
      </c>
    </row>
    <row r="119" spans="1:1" x14ac:dyDescent="0.3">
      <c r="A119" t="str">
        <f>Zsurface-'Su berekening'!B60&amp;"    "&amp;'Su berekening'!C60&amp;"    2.704    0.12868    "&amp;'Su berekening'!D60&amp;"    -0.364    -1.861    4    "&amp;Zsurface-'Su berekening'!B60&amp;"    400"</f>
        <v>5.6    0.185263    2.704    0.12868    0.0383    -0.364    -1.861    4    5.6    400</v>
      </c>
    </row>
    <row r="120" spans="1:1" x14ac:dyDescent="0.3">
      <c r="A120" t="str">
        <f>Zsurface-'Su berekening'!B61&amp;"    "&amp;'Su berekening'!C61&amp;"    2.704    0.12868    "&amp;'Su berekening'!D61&amp;"    -0.364    -1.861    4    "&amp;Zsurface-'Su berekening'!B61&amp;"    400"</f>
        <v>5.7    0.186163    2.704    0.12868    0.0392    -0.364    -1.861    4    5.7    400</v>
      </c>
    </row>
    <row r="121" spans="1:1" x14ac:dyDescent="0.3">
      <c r="A121" t="str">
        <f>Zsurface-'Su berekening'!B62&amp;"    "&amp;'Su berekening'!C62&amp;"    2.704    0.12868    "&amp;'Su berekening'!D62&amp;"    -0.364    -1.861    4    "&amp;Zsurface-'Su berekening'!B62&amp;"    400"</f>
        <v>5.8    0.095765    2.704    0.12868    0.0402    -0.364    -1.861    4    5.8    400</v>
      </c>
    </row>
    <row r="122" spans="1:1" x14ac:dyDescent="0.3">
      <c r="A122" t="str">
        <f>Zsurface-'Su berekening'!B63&amp;"    "&amp;'Su berekening'!C63&amp;"    2.704    0.12868    "&amp;'Su berekening'!D63&amp;"    -0.364    -1.861    4    "&amp;Zsurface-'Su berekening'!B63&amp;"    400"</f>
        <v>5.9    0.095115    2.704    0.12868    0.0412    -0.364    -1.861    4    5.9    400</v>
      </c>
    </row>
    <row r="123" spans="1:1" x14ac:dyDescent="0.3">
      <c r="A123" t="str">
        <f>Zsurface-'Su berekening'!B64&amp;"    "&amp;'Su berekening'!C64&amp;"    2.704    0.12868    "&amp;'Su berekening'!D64&amp;"    -0.364    -1.861    4    "&amp;Zsurface-'Su berekening'!B64&amp;"    400"</f>
        <v>6    0.094465    2.704    0.12868    0.0422    -0.364    -1.861    4    6    400</v>
      </c>
    </row>
    <row r="124" spans="1:1" x14ac:dyDescent="0.3">
      <c r="A124" t="str">
        <f>Zsurface-'Su berekening'!B65&amp;"    "&amp;'Su berekening'!C65&amp;"    2.704    0.12868    "&amp;'Su berekening'!D65&amp;"    -0.364    -1.861    4    "&amp;Zsurface-'Su berekening'!B65&amp;"    400"</f>
        <v>6.1    0.093815    2.704    0.12868    0.0432    -0.364    -1.861    4    6.1    400</v>
      </c>
    </row>
    <row r="125" spans="1:1" x14ac:dyDescent="0.3">
      <c r="A125" t="str">
        <f>Zsurface-'Su berekening'!B66&amp;"    "&amp;'Su berekening'!C66&amp;"    2.704    0.12868    "&amp;'Su berekening'!D66&amp;"    -0.364    -1.861    4    "&amp;Zsurface-'Su berekening'!B66&amp;"    400"</f>
        <v>6.2    0.093205    2.704    0.12868    0.0441    -0.364    -1.861    4    6.2    400</v>
      </c>
    </row>
    <row r="126" spans="1:1" x14ac:dyDescent="0.3">
      <c r="A126" t="str">
        <f>Zsurface-'Su berekening'!B67&amp;"    "&amp;'Su berekening'!C67&amp;"    2.704    0.12868    "&amp;'Su berekening'!D67&amp;"    -0.364    -1.861    4    "&amp;Zsurface-'Su berekening'!B67&amp;"    400"</f>
        <v>6.3    0.092555    2.704    0.12868    0.0451    -0.364    -1.861    4    6.3    400</v>
      </c>
    </row>
    <row r="127" spans="1:1" x14ac:dyDescent="0.3">
      <c r="A127" t="str">
        <f>Zsurface-'Su berekening'!B68&amp;"    "&amp;'Su berekening'!C68&amp;"    2.704    0.12868    "&amp;'Su berekening'!D68&amp;"    -0.364    -1.861    4    "&amp;Zsurface-'Su berekening'!B68&amp;"    400"</f>
        <v>6.4    0.091905    2.704    0.12868    0.0461    -0.364    -1.861    4    6.4    400</v>
      </c>
    </row>
    <row r="128" spans="1:1" x14ac:dyDescent="0.3">
      <c r="A128" t="str">
        <f>Zsurface-'Su berekening'!B69&amp;"    "&amp;'Su berekening'!C69&amp;"    2.704    0.12868    "&amp;'Su berekening'!D69&amp;"    -0.364    -1.861    4    "&amp;Zsurface-'Su berekening'!B69&amp;"    400"</f>
        <v>6.5    0.091255    2.704    0.12868    0.0471    -0.364    -1.861    4    6.5    400</v>
      </c>
    </row>
    <row r="129" spans="1:1" x14ac:dyDescent="0.3">
      <c r="A129" t="str">
        <f>Zsurface-'Su berekening'!B70&amp;"    "&amp;'Su berekening'!C70&amp;"    2.704    0.12868    "&amp;'Su berekening'!D70&amp;"    -0.364    -1.861    4    "&amp;Zsurface-'Su berekening'!B70&amp;"    400"</f>
        <v>6.6    0.090605    2.704    0.12868    0.0481    -0.364    -1.861    4    6.6    400</v>
      </c>
    </row>
    <row r="130" spans="1:1" x14ac:dyDescent="0.3">
      <c r="A130" t="str">
        <f>Zsurface-'Su berekening'!B71&amp;"    "&amp;'Su berekening'!C71&amp;"    2.704    0.12868    "&amp;'Su berekening'!D71&amp;"    -0.364    -1.861    4    "&amp;Zsurface-'Su berekening'!B71&amp;"    400"</f>
        <v>6.7    0.089955    2.704    0.12868    0.0491    -0.364    -1.861    4    6.7    400</v>
      </c>
    </row>
    <row r="131" spans="1:1" x14ac:dyDescent="0.3">
      <c r="A131" t="str">
        <f>Zsurface-'Su berekening'!B72&amp;"    "&amp;'Su berekening'!C72&amp;"    2.704    0.12868    "&amp;'Su berekening'!D72&amp;"    -0.364    -1.861    4    "&amp;Zsurface-'Su berekening'!B72&amp;"    400"</f>
        <v>6.8    0.089345    2.704    0.12868    0.05    -0.364    -1.861    4    6.8    400</v>
      </c>
    </row>
    <row r="132" spans="1:1" x14ac:dyDescent="0.3">
      <c r="A132" t="str">
        <f>Zsurface-'Su berekening'!B73&amp;"    "&amp;'Su berekening'!C73&amp;"    2.704    0.12868    "&amp;'Su berekening'!D73&amp;"    -0.364    -1.861    4    "&amp;Zsurface-'Su berekening'!B73&amp;"    400"</f>
        <v>6.9    0.088695    2.704    0.12868    0.051    -0.364    -1.861    4    6.9    400</v>
      </c>
    </row>
    <row r="133" spans="1:1" x14ac:dyDescent="0.3">
      <c r="A133" t="str">
        <f>Zsurface-'Su berekening'!B74&amp;"    "&amp;'Su berekening'!C74&amp;"    2.704    0.12868    "&amp;'Su berekening'!D74&amp;"    -0.364    -1.861    4    "&amp;Zsurface-'Su berekening'!B74&amp;"    400"</f>
        <v>7    0.088045    2.704    0.12868    0.052    -0.364    -1.861    4    7    400</v>
      </c>
    </row>
    <row r="134" spans="1:1" x14ac:dyDescent="0.3">
      <c r="A134" t="str">
        <f>Zsurface-'Su berekening'!B75&amp;"    "&amp;'Su berekening'!C75&amp;"    2.704    0.12868    "&amp;'Su berekening'!D75&amp;"    -0.364    -1.861    4    "&amp;Zsurface-'Su berekening'!B75&amp;"    400"</f>
        <v>7.1    0.087395    2.704    0.12868    0.053    -0.364    -1.861    4    7.1    400</v>
      </c>
    </row>
    <row r="135" spans="1:1" x14ac:dyDescent="0.3">
      <c r="A135" t="str">
        <f>Zsurface-'Su berekening'!B76&amp;"    "&amp;'Su berekening'!C76&amp;"    2.704    0.12868    "&amp;'Su berekening'!D76&amp;"    -0.364    -1.861    4    "&amp;Zsurface-'Su berekening'!B76&amp;"    400"</f>
        <v>7.2    0.086745    2.704    0.12868    0.054    -0.364    -1.861    4    7.2    400</v>
      </c>
    </row>
    <row r="136" spans="1:1" x14ac:dyDescent="0.3">
      <c r="A136" t="str">
        <f>Zsurface-'Su berekening'!B77&amp;"    "&amp;'Su berekening'!C77&amp;"    2.704    0.12868    "&amp;'Su berekening'!D77&amp;"    -0.364    -1.861    4    "&amp;Zsurface-'Su berekening'!B77&amp;"    400"</f>
        <v>7.3    0.086135    2.704    0.12868    0.0549    -0.364    -1.861    4    7.3    400</v>
      </c>
    </row>
    <row r="137" spans="1:1" x14ac:dyDescent="0.3">
      <c r="A137" t="str">
        <f>Zsurface-'Su berekening'!B78&amp;"    "&amp;'Su berekening'!C78&amp;"    2.704    0.12868    "&amp;'Su berekening'!D78&amp;"    -0.364    -1.861    4    "&amp;Zsurface-'Su berekening'!B78&amp;"    400"</f>
        <v>7.4    0.085485    2.704    0.12868    0.0559    -0.364    -1.861    4    7.4    400</v>
      </c>
    </row>
    <row r="138" spans="1:1" x14ac:dyDescent="0.3">
      <c r="A138" t="str">
        <f>Zsurface-'Su berekening'!B79&amp;"    "&amp;'Su berekening'!C79&amp;"    2.704    0.12868    "&amp;'Su berekening'!D79&amp;"    -0.364    -1.861    4    "&amp;Zsurface-'Su berekening'!B79&amp;"    400"</f>
        <v>7.5    0.084835    2.704    0.12868    0.0569    -0.364    -1.861    4    7.5    400</v>
      </c>
    </row>
    <row r="139" spans="1:1" x14ac:dyDescent="0.3">
      <c r="A139" t="str">
        <f>Zsurface-'Su berekening'!B80&amp;"    "&amp;'Su berekening'!C80&amp;"    2.704    0.12868    "&amp;'Su berekening'!D80&amp;"    -0.364    -1.861    4    "&amp;Zsurface-'Su berekening'!B80&amp;"    400"</f>
        <v>7.6    0.084185    2.704    0.12868    0.0579    -0.364    -1.861    4    7.6    400</v>
      </c>
    </row>
    <row r="140" spans="1:1" x14ac:dyDescent="0.3">
      <c r="A140" t="str">
        <f>Zsurface-'Su berekening'!B81&amp;"    "&amp;'Su berekening'!C81&amp;"    2.704    0.12868    "&amp;'Su berekening'!D81&amp;"    -0.364    -1.861    4    "&amp;Zsurface-'Su berekening'!B81&amp;"    400"</f>
        <v>7.7    0.083535    2.704    0.12868    0.0589    -0.364    -1.861    4    7.7    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21</vt:i4>
      </vt:variant>
    </vt:vector>
  </HeadingPairs>
  <TitlesOfParts>
    <vt:vector size="25" baseType="lpstr">
      <vt:lpstr>Soil profile</vt:lpstr>
      <vt:lpstr>Su berekening</vt:lpstr>
      <vt:lpstr>GEF file</vt:lpstr>
      <vt:lpstr>Chart su</vt:lpstr>
      <vt:lpstr>a</vt:lpstr>
      <vt:lpstr>BenchmarkNr</vt:lpstr>
      <vt:lpstr>GammaSat1</vt:lpstr>
      <vt:lpstr>GammaSat2</vt:lpstr>
      <vt:lpstr>GammaSat3</vt:lpstr>
      <vt:lpstr>GammaUnsat1</vt:lpstr>
      <vt:lpstr>GammaUnsat2</vt:lpstr>
      <vt:lpstr>GammaUnsat3</vt:lpstr>
      <vt:lpstr>Interval</vt:lpstr>
      <vt:lpstr>Nkt_1</vt:lpstr>
      <vt:lpstr>Nkt_2</vt:lpstr>
      <vt:lpstr>Nkt_3</vt:lpstr>
      <vt:lpstr>Su_top1</vt:lpstr>
      <vt:lpstr>X_1</vt:lpstr>
      <vt:lpstr>X_2</vt:lpstr>
      <vt:lpstr>X_3</vt:lpstr>
      <vt:lpstr>Zphreatic</vt:lpstr>
      <vt:lpstr>Zsurface</vt:lpstr>
      <vt:lpstr>Ztop1</vt:lpstr>
      <vt:lpstr>Ztop2</vt:lpstr>
      <vt:lpstr>Ztop3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Virginie Trompille</dc:creator>
  <cp:lastModifiedBy>Virginie Trompille</cp:lastModifiedBy>
  <dcterms:created xsi:type="dcterms:W3CDTF">2014-01-30T09:44:40Z</dcterms:created>
  <dcterms:modified xsi:type="dcterms:W3CDTF">2014-05-30T08:36:07Z</dcterms:modified>
</cp:coreProperties>
</file>